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ragos\CECCAR\CECCAR 2026\EVA\Intalnire 3\"/>
    </mc:Choice>
  </mc:AlternateContent>
  <xr:revisionPtr revIDLastSave="0" documentId="13_ncr:1_{8218DF94-DBD4-4AE8-BA38-F106BC0AC1FE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1" i="1" l="1"/>
  <c r="F230" i="1"/>
  <c r="F229" i="1"/>
  <c r="H225" i="1"/>
  <c r="H224" i="1"/>
  <c r="H223" i="1"/>
  <c r="F221" i="1"/>
  <c r="F220" i="1"/>
  <c r="F219" i="1"/>
  <c r="J189" i="1"/>
  <c r="G187" i="1"/>
  <c r="G182" i="1"/>
  <c r="G179" i="1"/>
  <c r="F179" i="1"/>
  <c r="G177" i="1"/>
  <c r="F177" i="1"/>
  <c r="G176" i="1"/>
  <c r="F176" i="1"/>
  <c r="G175" i="1"/>
  <c r="F175" i="1"/>
  <c r="G174" i="1"/>
  <c r="F174" i="1"/>
  <c r="I167" i="1"/>
  <c r="H167" i="1"/>
  <c r="I166" i="1"/>
  <c r="H166" i="1"/>
  <c r="I165" i="1"/>
  <c r="H165" i="1"/>
  <c r="I164" i="1"/>
  <c r="H164" i="1"/>
  <c r="I163" i="1"/>
  <c r="H163" i="1"/>
  <c r="I162" i="1"/>
  <c r="H162" i="1"/>
  <c r="I161" i="1"/>
  <c r="H161" i="1"/>
  <c r="H159" i="1"/>
  <c r="H160" i="1" s="1"/>
  <c r="G170" i="1"/>
  <c r="I158" i="1"/>
  <c r="H158" i="1"/>
  <c r="C176" i="1"/>
  <c r="B176" i="1"/>
  <c r="C172" i="1"/>
  <c r="B172" i="1"/>
  <c r="C168" i="1"/>
  <c r="B168" i="1"/>
  <c r="C166" i="1"/>
  <c r="B166" i="1"/>
  <c r="C165" i="1"/>
  <c r="B165" i="1"/>
  <c r="C161" i="1"/>
  <c r="B161" i="1"/>
  <c r="C158" i="1"/>
  <c r="B158" i="1"/>
  <c r="O143" i="1"/>
  <c r="O142" i="1"/>
  <c r="O139" i="1"/>
  <c r="I159" i="1" l="1"/>
  <c r="I160" i="1" s="1"/>
  <c r="M142" i="1"/>
  <c r="O140" i="1"/>
  <c r="M140" i="1"/>
  <c r="N137" i="1"/>
  <c r="M143" i="1"/>
  <c r="M139" i="1"/>
  <c r="M137" i="1"/>
  <c r="M136" i="1"/>
  <c r="M135" i="1"/>
  <c r="M134" i="1"/>
  <c r="M125" i="1"/>
  <c r="M124" i="1"/>
  <c r="M122" i="1"/>
  <c r="M121" i="1"/>
  <c r="M120" i="1"/>
  <c r="M119" i="1"/>
  <c r="Q99" i="1"/>
  <c r="V94" i="1"/>
  <c r="V93" i="1"/>
  <c r="V92" i="1"/>
  <c r="P91" i="1"/>
  <c r="P90" i="1"/>
  <c r="P87" i="1"/>
  <c r="P85" i="1"/>
  <c r="P78" i="1"/>
  <c r="P77" i="1"/>
  <c r="P73" i="1"/>
  <c r="P67" i="1"/>
  <c r="P65" i="1"/>
  <c r="P61" i="1"/>
  <c r="P53" i="1"/>
  <c r="P50" i="1"/>
  <c r="P34" i="1"/>
  <c r="P32" i="1"/>
  <c r="P28" i="1"/>
  <c r="P43" i="1"/>
  <c r="P41" i="1"/>
  <c r="P40" i="1"/>
  <c r="P39" i="1"/>
  <c r="O21" i="1"/>
  <c r="O19" i="1"/>
  <c r="O17" i="1"/>
  <c r="O16" i="1"/>
  <c r="O15" i="1"/>
  <c r="O14" i="1"/>
  <c r="M12" i="1"/>
  <c r="M11" i="1"/>
  <c r="M6" i="1"/>
  <c r="M5" i="1"/>
</calcChain>
</file>

<file path=xl/sharedStrings.xml><?xml version="1.0" encoding="utf-8"?>
<sst xmlns="http://schemas.openxmlformats.org/spreadsheetml/2006/main" count="153" uniqueCount="106">
  <si>
    <t>a)</t>
  </si>
  <si>
    <t>CFD A=</t>
  </si>
  <si>
    <t>mil euro</t>
  </si>
  <si>
    <t>CFD B=</t>
  </si>
  <si>
    <t>VI A=</t>
  </si>
  <si>
    <t>VI B=</t>
  </si>
  <si>
    <t>CA dupa fuziune=</t>
  </si>
  <si>
    <t>Costuri de productie dupa fuziune=</t>
  </si>
  <si>
    <t>EBIT dupa fuziune=</t>
  </si>
  <si>
    <t>CFD dupa fuziune=</t>
  </si>
  <si>
    <t>VI (a+b) dupa fuziune=</t>
  </si>
  <si>
    <t>b)</t>
  </si>
  <si>
    <t>c)</t>
  </si>
  <si>
    <t>Valoarea suplimentara adusa de fuziune=</t>
  </si>
  <si>
    <t>Pondere CPR=</t>
  </si>
  <si>
    <t>Pondere DFIN=</t>
  </si>
  <si>
    <t>K cpr=</t>
  </si>
  <si>
    <t>K dfin= rd*(1-16%)</t>
  </si>
  <si>
    <t>um</t>
  </si>
  <si>
    <t>Pretul de achizitie=</t>
  </si>
  <si>
    <t>Compania A nu ar trebui sa achizitioneze compania B deoarece pretul platit este mai mare decat valorea capitalurilor proprii.</t>
  </si>
  <si>
    <t>Numarul de actiuni nou emise de catre Mickey=</t>
  </si>
  <si>
    <t>actiuni</t>
  </si>
  <si>
    <t>Profitul pe actiune al companiei Mickey dupa achizitie=</t>
  </si>
  <si>
    <t>lei/act</t>
  </si>
  <si>
    <t>&lt;10lei/actiune</t>
  </si>
  <si>
    <t>Avand in vedere ca profitul pe actiune post fuziune, pentru compania Mickey, va fi mai mic decat cel inregistrat anterior, actionarii companiei Mickey nu vor accepta fuziunea.</t>
  </si>
  <si>
    <t>act</t>
  </si>
  <si>
    <t>&gt;10lei/actiune</t>
  </si>
  <si>
    <t>Avand in vedere ca profitul pe actiune post fuziune, pentru compania Mickey, va fi mai mare decat cel inregistrat anterior, actionarii companiei Mickey vor accepta fuziunea.</t>
  </si>
  <si>
    <t>Pret de achizitie alfa=</t>
  </si>
  <si>
    <t>Nr de actiuni alfa =</t>
  </si>
  <si>
    <t>Pretul de oferta=</t>
  </si>
  <si>
    <t>um/act</t>
  </si>
  <si>
    <t xml:space="preserve">Numar de actiuni noi emise de Beta SRL pentru achizitionarea lui Alfa SRL = </t>
  </si>
  <si>
    <t>Numar total de actiuni ale lui Beta SRL post achizitie =</t>
  </si>
  <si>
    <t xml:space="preserve">Valoare Beta SRL dupa achizite = Valoare Beta SRL inainte de achizite + Valoarea Alfa SRL + Efecte suplimentare ca urmare a achizitie (sinergie) = </t>
  </si>
  <si>
    <t>Valoraea unei actiuni BETA SA dupa achizitie=</t>
  </si>
  <si>
    <t>Pretul unei actiuni BETA inainte de achizitie=</t>
  </si>
  <si>
    <t>Pret achizitie=</t>
  </si>
  <si>
    <t>Multiplicator 1 A=</t>
  </si>
  <si>
    <t>Multiplicator 1 B=</t>
  </si>
  <si>
    <t>Multiplicator 1 C=</t>
  </si>
  <si>
    <t xml:space="preserve">Medie multiplicator 1 = </t>
  </si>
  <si>
    <t>VI X dupa m1=</t>
  </si>
  <si>
    <t>lei</t>
  </si>
  <si>
    <t>Valoarea CPR dupa m1=</t>
  </si>
  <si>
    <t>Multiplicator 2 A=</t>
  </si>
  <si>
    <t>Multiplicator 2 B=</t>
  </si>
  <si>
    <t>Multiplicator 2 C=</t>
  </si>
  <si>
    <t xml:space="preserve">Medie multiplicator 2 = </t>
  </si>
  <si>
    <t>VI X dupa m2=</t>
  </si>
  <si>
    <t>Valoarea CPR dupa m2=</t>
  </si>
  <si>
    <t>VI X=</t>
  </si>
  <si>
    <t>Valoarea CPR=</t>
  </si>
  <si>
    <t>Marja EBITDA pentru A este diferita semnificativ fata de marja EBITDA pentru compania analizata, vom considera ca aceasta companie nu este relevanta pentru compania X din punct de vedere al acestui multiplicar.</t>
  </si>
  <si>
    <t xml:space="preserve">Elemente </t>
  </si>
  <si>
    <t>Active pe termen lung</t>
  </si>
  <si>
    <t xml:space="preserve">Imobilizări corporale </t>
  </si>
  <si>
    <t>Imobilizări necorporale</t>
  </si>
  <si>
    <t>Active curente</t>
  </si>
  <si>
    <t xml:space="preserve">Creanțe </t>
  </si>
  <si>
    <t xml:space="preserve">Stocuri </t>
  </si>
  <si>
    <t>Disponibilități</t>
  </si>
  <si>
    <t>Total</t>
  </si>
  <si>
    <t>Datorii pe termen lung</t>
  </si>
  <si>
    <t>Credite bancare pe termen lung</t>
  </si>
  <si>
    <t xml:space="preserve">Datorii curente </t>
  </si>
  <si>
    <t xml:space="preserve">Furnizori </t>
  </si>
  <si>
    <t>Credite curente</t>
  </si>
  <si>
    <t>Impozite de plată</t>
  </si>
  <si>
    <t>Capitaluri proprii</t>
  </si>
  <si>
    <t>Capital social</t>
  </si>
  <si>
    <t xml:space="preserve">Rezerve </t>
  </si>
  <si>
    <t>Rezultatul exercițiului</t>
  </si>
  <si>
    <t xml:space="preserve">Cifra de afaceri </t>
  </si>
  <si>
    <t>Costul bunurilor vândute</t>
  </si>
  <si>
    <t>Marja brută</t>
  </si>
  <si>
    <t xml:space="preserve">Cheltuieli de distribuție </t>
  </si>
  <si>
    <t>Cheltuieli de marketing și publicitate</t>
  </si>
  <si>
    <t>Cheltuieli administrative</t>
  </si>
  <si>
    <t>Cheltuieli  cu dobânzile</t>
  </si>
  <si>
    <t xml:space="preserve">Rezultatul brut </t>
  </si>
  <si>
    <t xml:space="preserve">Cheltuieli cu impozitul pe profit </t>
  </si>
  <si>
    <t xml:space="preserve">Rezultatul net al exercițiului </t>
  </si>
  <si>
    <t>2027e</t>
  </si>
  <si>
    <t>2028e</t>
  </si>
  <si>
    <t>Pondere costuri bunuri vandute in CA 2026=</t>
  </si>
  <si>
    <t>Elemente</t>
  </si>
  <si>
    <t>Rezultat net</t>
  </si>
  <si>
    <t>+ch cu dob *(1-16%)</t>
  </si>
  <si>
    <t>+ch cu amo</t>
  </si>
  <si>
    <t>– ΔNFR</t>
  </si>
  <si>
    <t>- CAPEX</t>
  </si>
  <si>
    <t>= CFD</t>
  </si>
  <si>
    <t>d)</t>
  </si>
  <si>
    <t>PER Dero=</t>
  </si>
  <si>
    <t>PER Sapun=</t>
  </si>
  <si>
    <t>Medie PER=</t>
  </si>
  <si>
    <t>Valoarea CPR subiect=</t>
  </si>
  <si>
    <t>Valoarea CPR subiect din perspectiva controlului=</t>
  </si>
  <si>
    <t>Valoarea CPR subiect ajustata pentru control  si lipsa de lichiditate=</t>
  </si>
  <si>
    <t>Multiplicator 2= Pret actiune/CFD actiune</t>
  </si>
  <si>
    <t>Multimplicator 2 Dero=</t>
  </si>
  <si>
    <t>Multimplicator 2 Sapun=</t>
  </si>
  <si>
    <t>Medie m 2=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</si>
</sst>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%"/>
    <numFmt numFmtId="165" formatCode="0.000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43" fontId="0" fillId="0" borderId="0" xfId="1" applyFont="1"/>
    <xf numFmtId="10" fontId="0" fillId="0" borderId="0" xfId="0" applyNumberFormat="1"/>
    <xf numFmtId="43" fontId="0" fillId="0" borderId="0" xfId="0" applyNumberFormat="1"/>
    <xf numFmtId="10" fontId="0" fillId="0" borderId="0" xfId="2" applyNumberFormat="1" applyFont="1"/>
    <xf numFmtId="9" fontId="0" fillId="0" borderId="0" xfId="0" applyNumberFormat="1"/>
    <xf numFmtId="164" fontId="0" fillId="0" borderId="0" xfId="0" applyNumberFormat="1"/>
    <xf numFmtId="43" fontId="0" fillId="2" borderId="0" xfId="0" applyNumberFormat="1" applyFill="1"/>
    <xf numFmtId="43" fontId="0" fillId="2" borderId="0" xfId="1" applyFont="1" applyFill="1"/>
    <xf numFmtId="165" fontId="0" fillId="0" borderId="0" xfId="0" applyNumberFormat="1"/>
    <xf numFmtId="2" fontId="0" fillId="0" borderId="0" xfId="0" applyNumberFormat="1"/>
    <xf numFmtId="1" fontId="0" fillId="0" borderId="0" xfId="0" applyNumberFormat="1"/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66" fontId="3" fillId="0" borderId="1" xfId="1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66" fontId="4" fillId="0" borderId="1" xfId="1" applyNumberFormat="1" applyFont="1" applyBorder="1" applyAlignment="1">
      <alignment horizontal="right" vertical="center" wrapText="1"/>
    </xf>
    <xf numFmtId="166" fontId="3" fillId="0" borderId="1" xfId="1" applyNumberFormat="1" applyFont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43" fontId="4" fillId="0" borderId="1" xfId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/>
    </xf>
    <xf numFmtId="43" fontId="3" fillId="0" borderId="1" xfId="1" applyFont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2" fillId="0" borderId="1" xfId="0" applyFont="1" applyBorder="1"/>
    <xf numFmtId="43" fontId="6" fillId="0" borderId="1" xfId="1" applyFont="1" applyBorder="1" applyAlignment="1">
      <alignment horizontal="right" vertical="center" wrapText="1"/>
    </xf>
    <xf numFmtId="49" fontId="0" fillId="0" borderId="1" xfId="0" applyNumberFormat="1" applyBorder="1"/>
    <xf numFmtId="49" fontId="7" fillId="0" borderId="1" xfId="0" applyNumberFormat="1" applyFont="1" applyBorder="1"/>
    <xf numFmtId="43" fontId="2" fillId="0" borderId="1" xfId="0" applyNumberFormat="1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289561</xdr:colOff>
      <xdr:row>23</xdr:row>
      <xdr:rowOff>14417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3C5FE57-4F3A-4726-A8F8-3BF71DABE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6088380" cy="4220656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16</xdr:col>
      <xdr:colOff>267190</xdr:colOff>
      <xdr:row>2</xdr:row>
      <xdr:rowOff>99084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1DAEE9-644A-40B3-8AF7-1C4B66639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82880"/>
          <a:ext cx="5654530" cy="281964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7</xdr:row>
      <xdr:rowOff>0</xdr:rowOff>
    </xdr:from>
    <xdr:to>
      <xdr:col>14</xdr:col>
      <xdr:colOff>350825</xdr:colOff>
      <xdr:row>8</xdr:row>
      <xdr:rowOff>167670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4FDC4A9-68D2-42F7-AF14-8DE8EAECF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1280160"/>
          <a:ext cx="3520745" cy="3505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327768</xdr:colOff>
      <xdr:row>31</xdr:row>
      <xdr:rowOff>144780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2DA1AC4-9A09-44F4-89D8-3B4AFB8A1A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9120"/>
          <a:ext cx="6126588" cy="1424940"/>
        </a:xfrm>
        <a:prstGeom prst="rect">
          <a:avLst/>
        </a:prstGeom>
      </xdr:spPr>
    </xdr:pic>
    <xdr:clientData/>
  </xdr:twoCellAnchor>
  <xdr:twoCellAnchor editAs="oneCell">
    <xdr:from>
      <xdr:col>10</xdr:col>
      <xdr:colOff>22860</xdr:colOff>
      <xdr:row>24</xdr:row>
      <xdr:rowOff>45720</xdr:rowOff>
    </xdr:from>
    <xdr:to>
      <xdr:col>17</xdr:col>
      <xdr:colOff>473052</xdr:colOff>
      <xdr:row>26</xdr:row>
      <xdr:rowOff>137200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F7A5ABD-014B-4A8D-92F6-497F370A4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118860" y="4434840"/>
          <a:ext cx="7056732" cy="457240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114300</xdr:colOff>
      <xdr:row>27</xdr:row>
      <xdr:rowOff>0</xdr:rowOff>
    </xdr:from>
    <xdr:to>
      <xdr:col>14</xdr:col>
      <xdr:colOff>457557</xdr:colOff>
      <xdr:row>29</xdr:row>
      <xdr:rowOff>144824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AC519E7-D2EC-4DCF-8992-67562988F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210300" y="4937760"/>
          <a:ext cx="4122777" cy="510584"/>
        </a:xfrm>
        <a:prstGeom prst="rect">
          <a:avLst/>
        </a:prstGeom>
      </xdr:spPr>
    </xdr:pic>
    <xdr:clientData/>
  </xdr:twoCellAnchor>
  <xdr:twoCellAnchor editAs="oneCell">
    <xdr:from>
      <xdr:col>10</xdr:col>
      <xdr:colOff>121920</xdr:colOff>
      <xdr:row>30</xdr:row>
      <xdr:rowOff>22860</xdr:rowOff>
    </xdr:from>
    <xdr:to>
      <xdr:col>13</xdr:col>
      <xdr:colOff>640334</xdr:colOff>
      <xdr:row>32</xdr:row>
      <xdr:rowOff>45754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8F87F11C-27C3-4522-A321-8FF40CF6A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217920" y="5509260"/>
          <a:ext cx="2933954" cy="388654"/>
        </a:xfrm>
        <a:prstGeom prst="rect">
          <a:avLst/>
        </a:prstGeom>
      </xdr:spPr>
    </xdr:pic>
    <xdr:clientData/>
  </xdr:twoCellAnchor>
  <xdr:twoCellAnchor editAs="oneCell">
    <xdr:from>
      <xdr:col>3</xdr:col>
      <xdr:colOff>358140</xdr:colOff>
      <xdr:row>32</xdr:row>
      <xdr:rowOff>129540</xdr:rowOff>
    </xdr:from>
    <xdr:to>
      <xdr:col>10</xdr:col>
      <xdr:colOff>252081</xdr:colOff>
      <xdr:row>37</xdr:row>
      <xdr:rowOff>38171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E80C089-5C72-4CEC-ACF6-710757682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186940" y="5981700"/>
          <a:ext cx="7163421" cy="823031"/>
        </a:xfrm>
        <a:prstGeom prst="rect">
          <a:avLst/>
        </a:prstGeom>
      </xdr:spPr>
    </xdr:pic>
    <xdr:clientData/>
  </xdr:twoCellAnchor>
  <xdr:twoCellAnchor editAs="oneCell">
    <xdr:from>
      <xdr:col>9</xdr:col>
      <xdr:colOff>167640</xdr:colOff>
      <xdr:row>44</xdr:row>
      <xdr:rowOff>30480</xdr:rowOff>
    </xdr:from>
    <xdr:to>
      <xdr:col>15</xdr:col>
      <xdr:colOff>682968</xdr:colOff>
      <xdr:row>46</xdr:row>
      <xdr:rowOff>126326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1DBD552-38D5-4B75-8C5D-163DD1938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654040" y="8077200"/>
          <a:ext cx="6199848" cy="46160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47</xdr:row>
      <xdr:rowOff>0</xdr:rowOff>
    </xdr:from>
    <xdr:to>
      <xdr:col>13</xdr:col>
      <xdr:colOff>1204274</xdr:colOff>
      <xdr:row>48</xdr:row>
      <xdr:rowOff>99084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587784-1A17-42BA-A916-4D47BF0FE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096000" y="8595360"/>
          <a:ext cx="3619814" cy="281964"/>
        </a:xfrm>
        <a:prstGeom prst="rect">
          <a:avLst/>
        </a:prstGeom>
      </xdr:spPr>
    </xdr:pic>
    <xdr:clientData/>
  </xdr:twoCellAnchor>
  <xdr:twoCellAnchor editAs="oneCell">
    <xdr:from>
      <xdr:col>7</xdr:col>
      <xdr:colOff>182880</xdr:colOff>
      <xdr:row>48</xdr:row>
      <xdr:rowOff>76200</xdr:rowOff>
    </xdr:from>
    <xdr:to>
      <xdr:col>13</xdr:col>
      <xdr:colOff>1267789</xdr:colOff>
      <xdr:row>50</xdr:row>
      <xdr:rowOff>19845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7A1B86C-3E77-4652-9EA3-76FFDCF95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450080" y="8854440"/>
          <a:ext cx="5961709" cy="309405"/>
        </a:xfrm>
        <a:prstGeom prst="rect">
          <a:avLst/>
        </a:prstGeom>
      </xdr:spPr>
    </xdr:pic>
    <xdr:clientData/>
  </xdr:twoCellAnchor>
  <xdr:twoCellAnchor editAs="oneCell">
    <xdr:from>
      <xdr:col>10</xdr:col>
      <xdr:colOff>106680</xdr:colOff>
      <xdr:row>50</xdr:row>
      <xdr:rowOff>129540</xdr:rowOff>
    </xdr:from>
    <xdr:to>
      <xdr:col>13</xdr:col>
      <xdr:colOff>754645</xdr:colOff>
      <xdr:row>51</xdr:row>
      <xdr:rowOff>144797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BF02931F-802B-4C88-ABEE-EBA750702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202680" y="9273540"/>
          <a:ext cx="3063505" cy="19813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55</xdr:row>
      <xdr:rowOff>0</xdr:rowOff>
    </xdr:from>
    <xdr:to>
      <xdr:col>4</xdr:col>
      <xdr:colOff>144781</xdr:colOff>
      <xdr:row>72</xdr:row>
      <xdr:rowOff>58629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1B70287-F186-494A-816E-8212AB769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" y="10058400"/>
          <a:ext cx="5943600" cy="3167589"/>
        </a:xfrm>
        <a:prstGeom prst="rect">
          <a:avLst/>
        </a:prstGeom>
      </xdr:spPr>
    </xdr:pic>
    <xdr:clientData/>
  </xdr:twoCellAnchor>
  <xdr:twoCellAnchor editAs="oneCell">
    <xdr:from>
      <xdr:col>10</xdr:col>
      <xdr:colOff>480060</xdr:colOff>
      <xdr:row>56</xdr:row>
      <xdr:rowOff>22860</xdr:rowOff>
    </xdr:from>
    <xdr:to>
      <xdr:col>18</xdr:col>
      <xdr:colOff>244445</xdr:colOff>
      <xdr:row>59</xdr:row>
      <xdr:rowOff>152459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B34F1380-934D-4813-B9FB-6846537471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576060" y="10264140"/>
          <a:ext cx="6980525" cy="67823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60</xdr:row>
      <xdr:rowOff>0</xdr:rowOff>
    </xdr:from>
    <xdr:to>
      <xdr:col>14</xdr:col>
      <xdr:colOff>350878</xdr:colOff>
      <xdr:row>62</xdr:row>
      <xdr:rowOff>45756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C6D6BF0A-2BA9-49D9-814C-35ADFE978E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96000" y="10972800"/>
          <a:ext cx="4130398" cy="411516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72</xdr:row>
      <xdr:rowOff>0</xdr:rowOff>
    </xdr:from>
    <xdr:to>
      <xdr:col>14</xdr:col>
      <xdr:colOff>350878</xdr:colOff>
      <xdr:row>74</xdr:row>
      <xdr:rowOff>45756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2B05176-E621-4006-BFA6-4DC19381E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96000" y="13167360"/>
          <a:ext cx="4130398" cy="411516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82</xdr:row>
      <xdr:rowOff>0</xdr:rowOff>
    </xdr:from>
    <xdr:to>
      <xdr:col>4</xdr:col>
      <xdr:colOff>175260</xdr:colOff>
      <xdr:row>91</xdr:row>
      <xdr:rowOff>114423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CA69CF02-2D7F-4B1C-9823-C692C9325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" y="14996160"/>
          <a:ext cx="5974079" cy="1760343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86</xdr:row>
      <xdr:rowOff>0</xdr:rowOff>
    </xdr:from>
    <xdr:to>
      <xdr:col>14</xdr:col>
      <xdr:colOff>350878</xdr:colOff>
      <xdr:row>88</xdr:row>
      <xdr:rowOff>45756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4989FA2-F191-48D2-84D7-8DB3A3EC8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096000" y="15727680"/>
          <a:ext cx="4130398" cy="4115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97</xdr:row>
      <xdr:rowOff>0</xdr:rowOff>
    </xdr:from>
    <xdr:to>
      <xdr:col>4</xdr:col>
      <xdr:colOff>182880</xdr:colOff>
      <xdr:row>103</xdr:row>
      <xdr:rowOff>115695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A172289D-42D4-4BFF-A2A5-5FC64181B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17739360"/>
          <a:ext cx="5981700" cy="121297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97</xdr:row>
      <xdr:rowOff>0</xdr:rowOff>
    </xdr:from>
    <xdr:to>
      <xdr:col>15</xdr:col>
      <xdr:colOff>221432</xdr:colOff>
      <xdr:row>100</xdr:row>
      <xdr:rowOff>53392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46EA3153-22F4-4A07-809E-0091722F6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096000" y="17739360"/>
          <a:ext cx="5212532" cy="6020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182879</xdr:rowOff>
    </xdr:from>
    <xdr:to>
      <xdr:col>3</xdr:col>
      <xdr:colOff>411480</xdr:colOff>
      <xdr:row>127</xdr:row>
      <xdr:rowOff>28790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91D68862-932A-443F-A6B9-2D1A6D071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19202399"/>
          <a:ext cx="5600700" cy="4052151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105</xdr:row>
      <xdr:rowOff>0</xdr:rowOff>
    </xdr:from>
    <xdr:to>
      <xdr:col>15</xdr:col>
      <xdr:colOff>945394</xdr:colOff>
      <xdr:row>113</xdr:row>
      <xdr:rowOff>22989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1AC8CF68-5CCB-4697-8F9D-FF6C76004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096000" y="19202400"/>
          <a:ext cx="5936494" cy="1486029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114</xdr:row>
      <xdr:rowOff>0</xdr:rowOff>
    </xdr:from>
    <xdr:to>
      <xdr:col>13</xdr:col>
      <xdr:colOff>1022555</xdr:colOff>
      <xdr:row>116</xdr:row>
      <xdr:rowOff>139002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FBB1C7C0-5BDC-4712-A1D1-95FD64A44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096000" y="20848320"/>
          <a:ext cx="3438095" cy="504762"/>
        </a:xfrm>
        <a:prstGeom prst="rect">
          <a:avLst/>
        </a:prstGeom>
      </xdr:spPr>
    </xdr:pic>
    <xdr:clientData/>
  </xdr:twoCellAnchor>
  <xdr:twoCellAnchor editAs="oneCell">
    <xdr:from>
      <xdr:col>9</xdr:col>
      <xdr:colOff>396240</xdr:colOff>
      <xdr:row>125</xdr:row>
      <xdr:rowOff>160020</xdr:rowOff>
    </xdr:from>
    <xdr:to>
      <xdr:col>15</xdr:col>
      <xdr:colOff>673429</xdr:colOff>
      <xdr:row>127</xdr:row>
      <xdr:rowOff>103665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B8B6D66-1A17-4DE1-85A7-6B0072A87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882640" y="23020020"/>
          <a:ext cx="5961709" cy="309405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129</xdr:row>
      <xdr:rowOff>0</xdr:rowOff>
    </xdr:from>
    <xdr:to>
      <xdr:col>13</xdr:col>
      <xdr:colOff>974936</xdr:colOff>
      <xdr:row>132</xdr:row>
      <xdr:rowOff>41836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22F1CFFD-C5ED-4536-A337-02522023F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096000" y="23591520"/>
          <a:ext cx="3390476" cy="5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91440</xdr:rowOff>
    </xdr:from>
    <xdr:to>
      <xdr:col>4</xdr:col>
      <xdr:colOff>46227</xdr:colOff>
      <xdr:row>154</xdr:row>
      <xdr:rowOff>76373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AF10D79-066E-4414-BF82-A64DF86CD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0" y="26243280"/>
          <a:ext cx="5845047" cy="199661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177</xdr:row>
      <xdr:rowOff>1</xdr:rowOff>
    </xdr:from>
    <xdr:to>
      <xdr:col>2</xdr:col>
      <xdr:colOff>1501140</xdr:colOff>
      <xdr:row>194</xdr:row>
      <xdr:rowOff>140568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F0E455BE-6944-4F73-A3B7-53A2B32CBF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33268921"/>
          <a:ext cx="5143500" cy="32495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195</xdr:row>
      <xdr:rowOff>76200</xdr:rowOff>
    </xdr:from>
    <xdr:to>
      <xdr:col>2</xdr:col>
      <xdr:colOff>1188720</xdr:colOff>
      <xdr:row>204</xdr:row>
      <xdr:rowOff>149922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1F2913D5-A898-4828-BDF9-27278BC2E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0" y="36636960"/>
          <a:ext cx="4831080" cy="1719642"/>
        </a:xfrm>
        <a:prstGeom prst="rect">
          <a:avLst/>
        </a:prstGeom>
      </xdr:spPr>
    </xdr:pic>
    <xdr:clientData/>
  </xdr:twoCellAnchor>
  <xdr:twoCellAnchor editAs="oneCell">
    <xdr:from>
      <xdr:col>4</xdr:col>
      <xdr:colOff>1</xdr:colOff>
      <xdr:row>181</xdr:row>
      <xdr:rowOff>1</xdr:rowOff>
    </xdr:from>
    <xdr:to>
      <xdr:col>5</xdr:col>
      <xdr:colOff>899161</xdr:colOff>
      <xdr:row>183</xdr:row>
      <xdr:rowOff>23233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0105B6C-344E-40FB-9B3C-973F7F6E8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798821" y="34000441"/>
          <a:ext cx="2773680" cy="388992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185</xdr:row>
      <xdr:rowOff>0</xdr:rowOff>
    </xdr:from>
    <xdr:to>
      <xdr:col>5</xdr:col>
      <xdr:colOff>554051</xdr:colOff>
      <xdr:row>188</xdr:row>
      <xdr:rowOff>13265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7B26611E-A4EA-4CE8-89B0-6284DBF97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798820" y="34731960"/>
          <a:ext cx="2428571" cy="5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1447800</xdr:colOff>
      <xdr:row>187</xdr:row>
      <xdr:rowOff>152400</xdr:rowOff>
    </xdr:from>
    <xdr:to>
      <xdr:col>8</xdr:col>
      <xdr:colOff>155269</xdr:colOff>
      <xdr:row>189</xdr:row>
      <xdr:rowOff>96045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34996480-A6E1-46FD-85CB-AA614AEF56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090160" y="35250120"/>
          <a:ext cx="5961709" cy="3094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205</xdr:row>
      <xdr:rowOff>152400</xdr:rowOff>
    </xdr:from>
    <xdr:to>
      <xdr:col>4</xdr:col>
      <xdr:colOff>60960</xdr:colOff>
      <xdr:row>217</xdr:row>
      <xdr:rowOff>110129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5AEFF148-6F34-4E72-9D45-E5A833B83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38541960"/>
          <a:ext cx="5859780" cy="215228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152400</xdr:colOff>
      <xdr:row>205</xdr:row>
      <xdr:rowOff>152400</xdr:rowOff>
    </xdr:from>
    <xdr:to>
      <xdr:col>9</xdr:col>
      <xdr:colOff>122434</xdr:colOff>
      <xdr:row>213</xdr:row>
      <xdr:rowOff>175389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5CCCECEB-159C-4C51-ABAB-5B529B742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951220" y="38541960"/>
          <a:ext cx="5936494" cy="1486029"/>
        </a:xfrm>
        <a:prstGeom prst="rect">
          <a:avLst/>
        </a:prstGeom>
      </xdr:spPr>
    </xdr:pic>
    <xdr:clientData/>
  </xdr:twoCellAnchor>
  <xdr:twoCellAnchor editAs="oneCell">
    <xdr:from>
      <xdr:col>4</xdr:col>
      <xdr:colOff>259080</xdr:colOff>
      <xdr:row>214</xdr:row>
      <xdr:rowOff>99060</xdr:rowOff>
    </xdr:from>
    <xdr:to>
      <xdr:col>9</xdr:col>
      <xdr:colOff>559287</xdr:colOff>
      <xdr:row>216</xdr:row>
      <xdr:rowOff>114252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831AD160-29A8-496F-B3AA-CC48016B0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057900" y="40134540"/>
          <a:ext cx="6266667" cy="380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235"/>
  <sheetViews>
    <sheetView tabSelected="1" workbookViewId="0">
      <selection activeCell="G197" sqref="G197"/>
    </sheetView>
  </sheetViews>
  <sheetFormatPr defaultRowHeight="14.4" x14ac:dyDescent="0.3"/>
  <cols>
    <col min="1" max="1" width="29.33203125" customWidth="1"/>
    <col min="2" max="2" width="23.77734375" customWidth="1"/>
    <col min="3" max="3" width="22.5546875" customWidth="1"/>
    <col min="5" max="5" width="27.33203125" customWidth="1"/>
    <col min="6" max="6" width="17" customWidth="1"/>
    <col min="7" max="7" width="16.88671875" customWidth="1"/>
    <col min="8" max="8" width="13.109375" customWidth="1"/>
    <col min="9" max="9" width="12.6640625" customWidth="1"/>
    <col min="10" max="10" width="10.109375" bestFit="1" customWidth="1"/>
    <col min="12" max="12" width="13.77734375" customWidth="1"/>
    <col min="13" max="13" width="12.5546875" style="1" bestFit="1" customWidth="1"/>
    <col min="14" max="14" width="19.88671875" customWidth="1"/>
    <col min="15" max="15" width="17.6640625" style="1" customWidth="1"/>
    <col min="16" max="16" width="14.6640625" bestFit="1" customWidth="1"/>
    <col min="22" max="22" width="12.5546875" bestFit="1" customWidth="1"/>
  </cols>
  <sheetData>
    <row r="2" spans="11:16" x14ac:dyDescent="0.3">
      <c r="K2" t="s">
        <v>0</v>
      </c>
    </row>
    <row r="5" spans="11:16" x14ac:dyDescent="0.3">
      <c r="L5" t="s">
        <v>1</v>
      </c>
      <c r="M5" s="1">
        <f>2000*(1-16%)+0-0-0</f>
        <v>1680</v>
      </c>
      <c r="N5" t="s">
        <v>2</v>
      </c>
    </row>
    <row r="6" spans="11:16" x14ac:dyDescent="0.3">
      <c r="L6" t="s">
        <v>3</v>
      </c>
      <c r="M6" s="1">
        <f>1500*(1-16%)+0-0-0</f>
        <v>1260</v>
      </c>
      <c r="N6" t="s">
        <v>2</v>
      </c>
    </row>
    <row r="11" spans="11:16" x14ac:dyDescent="0.3">
      <c r="L11" t="s">
        <v>4</v>
      </c>
      <c r="M11" s="1">
        <f>M5*(1+4%)/(9%-4%)</f>
        <v>34944.000000000007</v>
      </c>
      <c r="N11" t="s">
        <v>2</v>
      </c>
    </row>
    <row r="12" spans="11:16" x14ac:dyDescent="0.3">
      <c r="L12" t="s">
        <v>5</v>
      </c>
      <c r="M12" s="1">
        <f>M6*(1+6%)/(10%-6%)</f>
        <v>33390</v>
      </c>
      <c r="N12" t="s">
        <v>2</v>
      </c>
    </row>
    <row r="14" spans="11:16" x14ac:dyDescent="0.3">
      <c r="K14" t="s">
        <v>11</v>
      </c>
      <c r="L14" t="s">
        <v>6</v>
      </c>
      <c r="O14" s="1">
        <f>(10000+5000)+1%*(10000+5000)</f>
        <v>15150</v>
      </c>
      <c r="P14" t="s">
        <v>2</v>
      </c>
    </row>
    <row r="15" spans="11:16" x14ac:dyDescent="0.3">
      <c r="L15" t="s">
        <v>7</v>
      </c>
      <c r="O15" s="1">
        <f>(8000+3500)*(100%-3%)</f>
        <v>11155</v>
      </c>
      <c r="P15" t="s">
        <v>2</v>
      </c>
    </row>
    <row r="16" spans="11:16" x14ac:dyDescent="0.3">
      <c r="L16" t="s">
        <v>8</v>
      </c>
      <c r="O16" s="1">
        <f>O14-O15</f>
        <v>3995</v>
      </c>
      <c r="P16" t="s">
        <v>2</v>
      </c>
    </row>
    <row r="17" spans="11:17" x14ac:dyDescent="0.3">
      <c r="L17" t="s">
        <v>9</v>
      </c>
      <c r="O17" s="1">
        <f>O16*(1-16%)+0-0-0</f>
        <v>3355.7999999999997</v>
      </c>
      <c r="P17" t="s">
        <v>2</v>
      </c>
    </row>
    <row r="19" spans="11:17" x14ac:dyDescent="0.3">
      <c r="L19" t="s">
        <v>10</v>
      </c>
      <c r="O19" s="1">
        <f>O17*(1+5.2%)/(9.25%-5.2%)</f>
        <v>87167.940740740742</v>
      </c>
      <c r="P19" t="s">
        <v>2</v>
      </c>
    </row>
    <row r="21" spans="11:17" x14ac:dyDescent="0.3">
      <c r="K21" t="s">
        <v>12</v>
      </c>
      <c r="L21" t="s">
        <v>13</v>
      </c>
      <c r="O21" s="1">
        <f>O19-M11-M12</f>
        <v>18833.940740740734</v>
      </c>
      <c r="P21" t="s">
        <v>2</v>
      </c>
    </row>
    <row r="28" spans="11:17" x14ac:dyDescent="0.3">
      <c r="P28" s="3">
        <f>400000/(1+P34)^1+800000*(1+P34)^2+900000/(1+P34)^3+800000/(1+P34)^4+P32/(1+P34)^4</f>
        <v>14139196.178351169</v>
      </c>
      <c r="Q28" t="s">
        <v>18</v>
      </c>
    </row>
    <row r="32" spans="11:17" x14ac:dyDescent="0.3">
      <c r="P32" s="1">
        <f>800000*(1+5%)/(P34-5%)</f>
        <v>16935483.870967746</v>
      </c>
      <c r="Q32" t="s">
        <v>18</v>
      </c>
    </row>
    <row r="34" spans="13:16" x14ac:dyDescent="0.3">
      <c r="P34" s="6">
        <f>P39*P42+P40*P43</f>
        <v>9.9599999999999994E-2</v>
      </c>
    </row>
    <row r="39" spans="13:16" x14ac:dyDescent="0.3">
      <c r="M39" s="1" t="s">
        <v>14</v>
      </c>
      <c r="P39" s="4">
        <f>10000000/(10000000+5000000)</f>
        <v>0.66666666666666663</v>
      </c>
    </row>
    <row r="40" spans="13:16" x14ac:dyDescent="0.3">
      <c r="M40" s="1" t="s">
        <v>15</v>
      </c>
      <c r="P40" s="4">
        <f>5000000/(10000000+5000000)</f>
        <v>0.33333333333333331</v>
      </c>
    </row>
    <row r="41" spans="13:16" x14ac:dyDescent="0.3">
      <c r="P41" s="2">
        <f>P39+P40</f>
        <v>1</v>
      </c>
    </row>
    <row r="42" spans="13:16" x14ac:dyDescent="0.3">
      <c r="M42" s="1" t="s">
        <v>16</v>
      </c>
      <c r="P42" s="5">
        <v>0.12</v>
      </c>
    </row>
    <row r="43" spans="13:16" x14ac:dyDescent="0.3">
      <c r="M43" s="1" t="s">
        <v>17</v>
      </c>
      <c r="P43" s="4">
        <f>7%*(1-16%)</f>
        <v>5.8800000000000005E-2</v>
      </c>
    </row>
    <row r="50" spans="11:17" x14ac:dyDescent="0.3">
      <c r="P50" s="7">
        <f>P28-2000000</f>
        <v>12139196.178351169</v>
      </c>
      <c r="Q50" t="s">
        <v>18</v>
      </c>
    </row>
    <row r="53" spans="11:17" x14ac:dyDescent="0.3">
      <c r="K53" t="s">
        <v>19</v>
      </c>
      <c r="P53" s="8">
        <f>15000000</f>
        <v>15000000</v>
      </c>
      <c r="Q53" t="s">
        <v>18</v>
      </c>
    </row>
    <row r="55" spans="11:17" x14ac:dyDescent="0.3">
      <c r="K55" t="s">
        <v>20</v>
      </c>
    </row>
    <row r="57" spans="11:17" x14ac:dyDescent="0.3">
      <c r="K57" t="s">
        <v>0</v>
      </c>
    </row>
    <row r="61" spans="11:17" x14ac:dyDescent="0.3">
      <c r="P61">
        <f>120/150</f>
        <v>0.8</v>
      </c>
    </row>
    <row r="65" spans="11:18" x14ac:dyDescent="0.3">
      <c r="K65" t="s">
        <v>21</v>
      </c>
      <c r="P65">
        <f>P61*20000</f>
        <v>16000</v>
      </c>
      <c r="Q65" t="s">
        <v>22</v>
      </c>
    </row>
    <row r="67" spans="11:18" x14ac:dyDescent="0.3">
      <c r="K67" t="s">
        <v>23</v>
      </c>
      <c r="P67" s="10">
        <f>(500000+150000)/(50000+P65)</f>
        <v>9.8484848484848477</v>
      </c>
      <c r="Q67" t="s">
        <v>24</v>
      </c>
      <c r="R67" t="s">
        <v>25</v>
      </c>
    </row>
    <row r="68" spans="11:18" x14ac:dyDescent="0.3">
      <c r="K68" t="s">
        <v>26</v>
      </c>
    </row>
    <row r="71" spans="11:18" x14ac:dyDescent="0.3">
      <c r="K71" t="s">
        <v>11</v>
      </c>
    </row>
    <row r="73" spans="11:18" x14ac:dyDescent="0.3">
      <c r="P73" s="10">
        <f>110/150</f>
        <v>0.73333333333333328</v>
      </c>
    </row>
    <row r="77" spans="11:18" x14ac:dyDescent="0.3">
      <c r="K77" t="s">
        <v>21</v>
      </c>
      <c r="P77" s="11">
        <f>P73*20000</f>
        <v>14666.666666666666</v>
      </c>
      <c r="Q77" t="s">
        <v>27</v>
      </c>
    </row>
    <row r="78" spans="11:18" x14ac:dyDescent="0.3">
      <c r="K78" t="s">
        <v>23</v>
      </c>
      <c r="P78" s="10">
        <f>(500000+150000)/(50000+14668)</f>
        <v>10.05133914764644</v>
      </c>
      <c r="Q78" t="s">
        <v>24</v>
      </c>
      <c r="R78" t="s">
        <v>28</v>
      </c>
    </row>
    <row r="79" spans="11:18" x14ac:dyDescent="0.3">
      <c r="K79" t="s">
        <v>29</v>
      </c>
    </row>
    <row r="83" spans="11:23" x14ac:dyDescent="0.3">
      <c r="K83" t="s">
        <v>30</v>
      </c>
      <c r="P83" s="1">
        <v>3500000</v>
      </c>
      <c r="Q83" s="1" t="s">
        <v>18</v>
      </c>
    </row>
    <row r="84" spans="11:23" x14ac:dyDescent="0.3">
      <c r="K84" t="s">
        <v>31</v>
      </c>
      <c r="P84" s="1">
        <v>140000</v>
      </c>
      <c r="Q84" s="1" t="s">
        <v>27</v>
      </c>
    </row>
    <row r="85" spans="11:23" x14ac:dyDescent="0.3">
      <c r="K85" t="s">
        <v>32</v>
      </c>
      <c r="P85" s="1">
        <f>P83/P84</f>
        <v>25</v>
      </c>
      <c r="Q85" s="1" t="s">
        <v>33</v>
      </c>
    </row>
    <row r="86" spans="11:23" x14ac:dyDescent="0.3">
      <c r="N86" s="1"/>
    </row>
    <row r="87" spans="11:23" x14ac:dyDescent="0.3">
      <c r="N87" s="1"/>
      <c r="P87" s="3">
        <f>P85/50</f>
        <v>0.5</v>
      </c>
    </row>
    <row r="88" spans="11:23" x14ac:dyDescent="0.3">
      <c r="N88" s="1"/>
    </row>
    <row r="89" spans="11:23" x14ac:dyDescent="0.3">
      <c r="N89" s="1"/>
    </row>
    <row r="90" spans="11:23" x14ac:dyDescent="0.3">
      <c r="K90" t="s">
        <v>34</v>
      </c>
      <c r="N90" s="1"/>
      <c r="P90" s="3">
        <f>P87*140000</f>
        <v>70000</v>
      </c>
      <c r="Q90" t="s">
        <v>27</v>
      </c>
    </row>
    <row r="91" spans="11:23" x14ac:dyDescent="0.3">
      <c r="K91" t="s">
        <v>35</v>
      </c>
      <c r="N91" s="1"/>
      <c r="P91" s="1">
        <f>120000+70000</f>
        <v>190000</v>
      </c>
      <c r="Q91" t="s">
        <v>27</v>
      </c>
    </row>
    <row r="92" spans="11:23" x14ac:dyDescent="0.3">
      <c r="K92" t="s">
        <v>36</v>
      </c>
      <c r="N92" s="1"/>
      <c r="P92" s="1"/>
      <c r="V92" s="1">
        <f>120000*50+140000*21+45000</f>
        <v>8985000</v>
      </c>
      <c r="W92" t="s">
        <v>18</v>
      </c>
    </row>
    <row r="93" spans="11:23" x14ac:dyDescent="0.3">
      <c r="K93" t="s">
        <v>37</v>
      </c>
      <c r="N93" s="1"/>
      <c r="P93" s="1"/>
      <c r="V93" s="10">
        <f>V92/P91</f>
        <v>47.289473684210527</v>
      </c>
      <c r="W93" t="s">
        <v>33</v>
      </c>
    </row>
    <row r="94" spans="11:23" x14ac:dyDescent="0.3">
      <c r="N94" s="1"/>
      <c r="P94" s="1"/>
      <c r="V94" s="10">
        <f>50</f>
        <v>50</v>
      </c>
      <c r="W94" t="s">
        <v>33</v>
      </c>
    </row>
    <row r="95" spans="11:23" x14ac:dyDescent="0.3">
      <c r="K95" t="s">
        <v>38</v>
      </c>
      <c r="N95" s="1"/>
      <c r="P95" s="1"/>
    </row>
    <row r="96" spans="11:23" x14ac:dyDescent="0.3">
      <c r="N96" s="1"/>
    </row>
    <row r="99" spans="11:18" x14ac:dyDescent="0.3">
      <c r="Q99" s="10">
        <f>2.5*(1+3%)/(10%-3%)</f>
        <v>36.785714285714285</v>
      </c>
      <c r="R99" t="s">
        <v>24</v>
      </c>
    </row>
    <row r="102" spans="11:18" x14ac:dyDescent="0.3">
      <c r="K102" t="s">
        <v>39</v>
      </c>
      <c r="Q102">
        <v>30</v>
      </c>
      <c r="R102" t="s">
        <v>24</v>
      </c>
    </row>
    <row r="119" spans="11:14" x14ac:dyDescent="0.3">
      <c r="K119" t="s">
        <v>40</v>
      </c>
      <c r="M119" s="1">
        <f>1400000/41600</f>
        <v>33.653846153846153</v>
      </c>
    </row>
    <row r="120" spans="11:14" x14ac:dyDescent="0.3">
      <c r="K120" t="s">
        <v>41</v>
      </c>
      <c r="M120" s="1">
        <f>1800000/50400</f>
        <v>35.714285714285715</v>
      </c>
    </row>
    <row r="121" spans="11:14" x14ac:dyDescent="0.3">
      <c r="K121" t="s">
        <v>42</v>
      </c>
      <c r="M121" s="1">
        <f>1750000/48000</f>
        <v>36.458333333333336</v>
      </c>
    </row>
    <row r="122" spans="11:14" x14ac:dyDescent="0.3">
      <c r="K122" t="s">
        <v>43</v>
      </c>
      <c r="M122" s="1">
        <f>(M119+M120+M121)/3</f>
        <v>35.275488400488399</v>
      </c>
    </row>
    <row r="124" spans="11:14" x14ac:dyDescent="0.3">
      <c r="K124" t="s">
        <v>44</v>
      </c>
      <c r="M124" s="8">
        <f>M122*44000</f>
        <v>1552121.4896214895</v>
      </c>
      <c r="N124" t="s">
        <v>45</v>
      </c>
    </row>
    <row r="125" spans="11:14" x14ac:dyDescent="0.3">
      <c r="K125" t="s">
        <v>46</v>
      </c>
      <c r="M125" s="8">
        <f>M124-480000+150000</f>
        <v>1222121.4896214895</v>
      </c>
      <c r="N125" t="s">
        <v>45</v>
      </c>
    </row>
    <row r="134" spans="11:15" x14ac:dyDescent="0.3">
      <c r="K134" t="s">
        <v>47</v>
      </c>
      <c r="M134" s="1">
        <f>1400000/130000</f>
        <v>10.76923076923077</v>
      </c>
    </row>
    <row r="135" spans="11:15" x14ac:dyDescent="0.3">
      <c r="K135" t="s">
        <v>48</v>
      </c>
      <c r="M135" s="1">
        <f>1800000/150000</f>
        <v>12</v>
      </c>
    </row>
    <row r="136" spans="11:15" x14ac:dyDescent="0.3">
      <c r="K136" t="s">
        <v>49</v>
      </c>
      <c r="M136" s="1">
        <f>1750000/145000</f>
        <v>12.068965517241379</v>
      </c>
    </row>
    <row r="137" spans="11:15" x14ac:dyDescent="0.3">
      <c r="K137" t="s">
        <v>50</v>
      </c>
      <c r="M137" s="1">
        <f>(M134+M135+M136)/3</f>
        <v>11.612732095490715</v>
      </c>
      <c r="N137" s="9">
        <f>(M135+M136)/2</f>
        <v>12.03448275862069</v>
      </c>
      <c r="O137" s="1" t="s">
        <v>55</v>
      </c>
    </row>
    <row r="139" spans="11:15" x14ac:dyDescent="0.3">
      <c r="K139" t="s">
        <v>51</v>
      </c>
      <c r="M139" s="8">
        <f>M137*130000</f>
        <v>1509655.1724137929</v>
      </c>
      <c r="N139" t="s">
        <v>45</v>
      </c>
      <c r="O139" s="1">
        <f>N137*130000</f>
        <v>1564482.7586206899</v>
      </c>
    </row>
    <row r="140" spans="11:15" x14ac:dyDescent="0.3">
      <c r="K140" t="s">
        <v>52</v>
      </c>
      <c r="M140" s="8">
        <f>M139-480000+150000</f>
        <v>1179655.1724137929</v>
      </c>
      <c r="N140" t="s">
        <v>45</v>
      </c>
      <c r="O140" s="1">
        <f>O139-480000+150000</f>
        <v>1234482.7586206899</v>
      </c>
    </row>
    <row r="142" spans="11:15" x14ac:dyDescent="0.3">
      <c r="K142" t="s">
        <v>53</v>
      </c>
      <c r="M142" s="1">
        <f>(M124+M139)/2</f>
        <v>1530888.3310176414</v>
      </c>
      <c r="N142" t="s">
        <v>45</v>
      </c>
      <c r="O142" s="1">
        <f>(M124+O139)/2</f>
        <v>1558302.1241210897</v>
      </c>
    </row>
    <row r="143" spans="11:15" x14ac:dyDescent="0.3">
      <c r="K143" t="s">
        <v>54</v>
      </c>
      <c r="M143" s="1">
        <f>M142-480000+150000</f>
        <v>1200888.3310176414</v>
      </c>
      <c r="N143" t="s">
        <v>45</v>
      </c>
      <c r="O143" s="1">
        <f>O142-480000+150000</f>
        <v>1228302.1241210897</v>
      </c>
    </row>
    <row r="157" spans="1:9" ht="15.6" x14ac:dyDescent="0.3">
      <c r="A157" s="12" t="s">
        <v>56</v>
      </c>
      <c r="B157" s="13">
        <v>2025</v>
      </c>
      <c r="C157" s="13">
        <v>2026</v>
      </c>
      <c r="D157" t="s">
        <v>0</v>
      </c>
      <c r="E157" s="20" t="s">
        <v>56</v>
      </c>
      <c r="F157" s="13">
        <v>2025</v>
      </c>
      <c r="G157" s="13">
        <v>2026</v>
      </c>
      <c r="H157" s="25" t="s">
        <v>85</v>
      </c>
      <c r="I157" s="25" t="s">
        <v>86</v>
      </c>
    </row>
    <row r="158" spans="1:9" ht="15.6" x14ac:dyDescent="0.3">
      <c r="A158" s="14" t="s">
        <v>57</v>
      </c>
      <c r="B158" s="15">
        <f>B159+B160</f>
        <v>11500</v>
      </c>
      <c r="C158" s="15">
        <f>C159+C160</f>
        <v>7900</v>
      </c>
      <c r="E158" s="21" t="s">
        <v>75</v>
      </c>
      <c r="F158" s="22">
        <v>21300</v>
      </c>
      <c r="G158" s="22">
        <v>16700</v>
      </c>
      <c r="H158" s="27">
        <f>G158*(1+15%)</f>
        <v>19205</v>
      </c>
      <c r="I158" s="27">
        <f>H158*(1+15%)</f>
        <v>22085.75</v>
      </c>
    </row>
    <row r="159" spans="1:9" ht="15.6" x14ac:dyDescent="0.3">
      <c r="A159" s="16" t="s">
        <v>58</v>
      </c>
      <c r="B159" s="17">
        <v>10000</v>
      </c>
      <c r="C159" s="17">
        <v>5900</v>
      </c>
      <c r="E159" s="21" t="s">
        <v>76</v>
      </c>
      <c r="F159" s="22">
        <v>11700</v>
      </c>
      <c r="G159" s="22">
        <v>10020</v>
      </c>
      <c r="H159" s="27">
        <f>G170*H158</f>
        <v>11523</v>
      </c>
      <c r="I159" s="27">
        <f>G170*I158</f>
        <v>13251.449999999999</v>
      </c>
    </row>
    <row r="160" spans="1:9" ht="15.6" x14ac:dyDescent="0.3">
      <c r="A160" s="16" t="s">
        <v>59</v>
      </c>
      <c r="B160" s="17">
        <v>1500</v>
      </c>
      <c r="C160" s="17">
        <v>2000</v>
      </c>
      <c r="E160" s="21" t="s">
        <v>77</v>
      </c>
      <c r="F160" s="22">
        <v>9600</v>
      </c>
      <c r="G160" s="22">
        <v>6680</v>
      </c>
      <c r="H160" s="27">
        <f>H158-H159</f>
        <v>7682</v>
      </c>
      <c r="I160" s="27">
        <f>I158-I159</f>
        <v>8834.3000000000011</v>
      </c>
    </row>
    <row r="161" spans="1:9" ht="15.6" x14ac:dyDescent="0.3">
      <c r="A161" s="14" t="s">
        <v>60</v>
      </c>
      <c r="B161" s="15">
        <f>B162+B163+B164</f>
        <v>3500</v>
      </c>
      <c r="C161" s="15">
        <f>C162+C163+C164</f>
        <v>2100</v>
      </c>
      <c r="E161" s="21" t="s">
        <v>78</v>
      </c>
      <c r="F161" s="22">
        <v>2700</v>
      </c>
      <c r="G161" s="22">
        <v>1930</v>
      </c>
      <c r="H161" s="27">
        <f>G161*(1+5%)</f>
        <v>2026.5</v>
      </c>
      <c r="I161" s="27">
        <f>H161*(1+5%)</f>
        <v>2127.8250000000003</v>
      </c>
    </row>
    <row r="162" spans="1:9" ht="31.2" x14ac:dyDescent="0.3">
      <c r="A162" s="16" t="s">
        <v>61</v>
      </c>
      <c r="B162" s="17">
        <v>600</v>
      </c>
      <c r="C162" s="17">
        <v>800</v>
      </c>
      <c r="E162" s="21" t="s">
        <v>79</v>
      </c>
      <c r="F162" s="22">
        <v>1080</v>
      </c>
      <c r="G162" s="22">
        <v>900</v>
      </c>
      <c r="H162" s="27">
        <f>G162*(1+8%)</f>
        <v>972.00000000000011</v>
      </c>
      <c r="I162" s="27">
        <f>H162*(1+8%)</f>
        <v>1049.7600000000002</v>
      </c>
    </row>
    <row r="163" spans="1:9" ht="15.6" x14ac:dyDescent="0.3">
      <c r="A163" s="16" t="s">
        <v>62</v>
      </c>
      <c r="B163" s="17">
        <v>700</v>
      </c>
      <c r="C163" s="17">
        <v>300</v>
      </c>
      <c r="E163" s="21" t="s">
        <v>80</v>
      </c>
      <c r="F163" s="22">
        <v>2100</v>
      </c>
      <c r="G163" s="22">
        <v>2200</v>
      </c>
      <c r="H163" s="27">
        <f>G163</f>
        <v>2200</v>
      </c>
      <c r="I163" s="27">
        <f>H163</f>
        <v>2200</v>
      </c>
    </row>
    <row r="164" spans="1:9" ht="15.6" x14ac:dyDescent="0.3">
      <c r="A164" s="16" t="s">
        <v>63</v>
      </c>
      <c r="B164" s="17">
        <v>2200</v>
      </c>
      <c r="C164" s="17">
        <v>1000</v>
      </c>
      <c r="E164" s="21" t="s">
        <v>81</v>
      </c>
      <c r="F164" s="22">
        <v>1150</v>
      </c>
      <c r="G164" s="22">
        <v>950</v>
      </c>
      <c r="H164" s="27">
        <f>G164</f>
        <v>950</v>
      </c>
      <c r="I164" s="27">
        <f>H164</f>
        <v>950</v>
      </c>
    </row>
    <row r="165" spans="1:9" ht="15.6" x14ac:dyDescent="0.3">
      <c r="A165" s="14" t="s">
        <v>64</v>
      </c>
      <c r="B165" s="18">
        <f>B158+B161</f>
        <v>15000</v>
      </c>
      <c r="C165" s="18">
        <f>C158+C161</f>
        <v>10000</v>
      </c>
      <c r="E165" s="21" t="s">
        <v>82</v>
      </c>
      <c r="F165" s="22">
        <v>2570</v>
      </c>
      <c r="G165" s="22">
        <v>700</v>
      </c>
      <c r="H165" s="27">
        <f>H160-SUM(H161:H164)</f>
        <v>1533.5</v>
      </c>
      <c r="I165" s="27">
        <f>I160-SUM(I161:I164)</f>
        <v>2506.7150000000001</v>
      </c>
    </row>
    <row r="166" spans="1:9" ht="31.2" x14ac:dyDescent="0.3">
      <c r="A166" s="14" t="s">
        <v>65</v>
      </c>
      <c r="B166" s="15">
        <f>B167</f>
        <v>4000</v>
      </c>
      <c r="C166" s="15">
        <f>C167</f>
        <v>2500</v>
      </c>
      <c r="E166" s="21" t="s">
        <v>83</v>
      </c>
      <c r="F166" s="22">
        <v>320</v>
      </c>
      <c r="G166" s="22">
        <v>150</v>
      </c>
      <c r="H166" s="27">
        <f>16%*H165</f>
        <v>245.36</v>
      </c>
      <c r="I166" s="27">
        <f>16%*I165</f>
        <v>401.07440000000003</v>
      </c>
    </row>
    <row r="167" spans="1:9" ht="31.2" x14ac:dyDescent="0.3">
      <c r="A167" s="16" t="s">
        <v>66</v>
      </c>
      <c r="B167" s="17">
        <v>4000</v>
      </c>
      <c r="C167" s="17">
        <v>2500</v>
      </c>
      <c r="E167" s="23" t="s">
        <v>84</v>
      </c>
      <c r="F167" s="24">
        <v>2250</v>
      </c>
      <c r="G167" s="24">
        <v>550</v>
      </c>
      <c r="H167" s="27">
        <f>H165-H166</f>
        <v>1288.1399999999999</v>
      </c>
      <c r="I167" s="27">
        <f>I165-I166</f>
        <v>2105.6406000000002</v>
      </c>
    </row>
    <row r="168" spans="1:9" ht="15.6" x14ac:dyDescent="0.3">
      <c r="A168" s="14" t="s">
        <v>67</v>
      </c>
      <c r="B168" s="15">
        <f>B169+B170+B171</f>
        <v>3000</v>
      </c>
      <c r="C168" s="15">
        <f>C169+C170+C171</f>
        <v>3500</v>
      </c>
    </row>
    <row r="169" spans="1:9" ht="15.6" x14ac:dyDescent="0.3">
      <c r="A169" s="16" t="s">
        <v>68</v>
      </c>
      <c r="B169" s="17">
        <v>550</v>
      </c>
      <c r="C169" s="17">
        <v>1800</v>
      </c>
    </row>
    <row r="170" spans="1:9" ht="15.6" x14ac:dyDescent="0.3">
      <c r="A170" s="16" t="s">
        <v>69</v>
      </c>
      <c r="B170" s="17">
        <v>1750</v>
      </c>
      <c r="C170" s="17">
        <v>1450</v>
      </c>
      <c r="E170" t="s">
        <v>87</v>
      </c>
      <c r="G170" s="4">
        <f>G159/G158</f>
        <v>0.6</v>
      </c>
    </row>
    <row r="171" spans="1:9" ht="15.6" x14ac:dyDescent="0.3">
      <c r="A171" s="16" t="s">
        <v>70</v>
      </c>
      <c r="B171" s="17">
        <v>700</v>
      </c>
      <c r="C171" s="17">
        <v>250</v>
      </c>
    </row>
    <row r="172" spans="1:9" ht="15.6" x14ac:dyDescent="0.3">
      <c r="A172" s="14" t="s">
        <v>71</v>
      </c>
      <c r="B172" s="15">
        <f>B173+B174+B175</f>
        <v>8000</v>
      </c>
      <c r="C172" s="15">
        <f>C173+C174+C175</f>
        <v>4000</v>
      </c>
    </row>
    <row r="173" spans="1:9" ht="15.6" x14ac:dyDescent="0.3">
      <c r="A173" s="16" t="s">
        <v>72</v>
      </c>
      <c r="B173" s="17">
        <v>5000</v>
      </c>
      <c r="C173" s="17">
        <v>3000</v>
      </c>
      <c r="D173" t="s">
        <v>11</v>
      </c>
      <c r="E173" s="25" t="s">
        <v>88</v>
      </c>
      <c r="F173" s="25" t="s">
        <v>85</v>
      </c>
      <c r="G173" s="25" t="s">
        <v>86</v>
      </c>
    </row>
    <row r="174" spans="1:9" ht="15.6" x14ac:dyDescent="0.3">
      <c r="A174" s="16" t="s">
        <v>73</v>
      </c>
      <c r="B174" s="17">
        <v>750</v>
      </c>
      <c r="C174" s="17">
        <v>450</v>
      </c>
      <c r="E174" s="28" t="s">
        <v>89</v>
      </c>
      <c r="F174" s="30">
        <f>H167</f>
        <v>1288.1399999999999</v>
      </c>
      <c r="G174" s="30">
        <f>I167</f>
        <v>2105.6406000000002</v>
      </c>
    </row>
    <row r="175" spans="1:9" ht="15.6" x14ac:dyDescent="0.3">
      <c r="A175" s="16" t="s">
        <v>74</v>
      </c>
      <c r="B175" s="17">
        <v>2250</v>
      </c>
      <c r="C175" s="17">
        <v>550</v>
      </c>
      <c r="E175" s="28" t="s">
        <v>90</v>
      </c>
      <c r="F175" s="26">
        <f>H164*(1-16%)</f>
        <v>798</v>
      </c>
      <c r="G175" s="26">
        <f>I164*(1-16%)</f>
        <v>798</v>
      </c>
    </row>
    <row r="176" spans="1:9" ht="15.6" x14ac:dyDescent="0.3">
      <c r="A176" s="19" t="s">
        <v>64</v>
      </c>
      <c r="B176" s="18">
        <f>B168+B172+B166</f>
        <v>15000</v>
      </c>
      <c r="C176" s="18">
        <f>C168+C172+C166</f>
        <v>10000</v>
      </c>
      <c r="E176" s="28" t="s">
        <v>91</v>
      </c>
      <c r="F176" s="26">
        <f>1500</f>
        <v>1500</v>
      </c>
      <c r="G176" s="26">
        <f>1500</f>
        <v>1500</v>
      </c>
    </row>
    <row r="177" spans="4:11" x14ac:dyDescent="0.3">
      <c r="E177" s="28" t="s">
        <v>92</v>
      </c>
      <c r="F177" s="30">
        <f>5%*H158</f>
        <v>960.25</v>
      </c>
      <c r="G177" s="30">
        <f>5%*I158</f>
        <v>1104.2875000000001</v>
      </c>
    </row>
    <row r="178" spans="4:11" x14ac:dyDescent="0.3">
      <c r="E178" s="28" t="s">
        <v>93</v>
      </c>
      <c r="F178" s="26">
        <v>1000</v>
      </c>
      <c r="G178" s="26">
        <v>1000</v>
      </c>
    </row>
    <row r="179" spans="4:11" x14ac:dyDescent="0.3">
      <c r="E179" s="29" t="s">
        <v>94</v>
      </c>
      <c r="F179" s="30">
        <f>F174+F175+F176-F177-F178</f>
        <v>1625.8899999999999</v>
      </c>
      <c r="G179" s="30">
        <f>G174+G175+G176-G177-G178</f>
        <v>2299.3531000000003</v>
      </c>
    </row>
    <row r="182" spans="4:11" x14ac:dyDescent="0.3">
      <c r="D182" t="s">
        <v>12</v>
      </c>
      <c r="G182" s="1">
        <f>G179*(1+5%)/(15%-5%)</f>
        <v>24143.207550000003</v>
      </c>
      <c r="H182" t="s">
        <v>18</v>
      </c>
    </row>
    <row r="186" spans="4:11" x14ac:dyDescent="0.3">
      <c r="D186" t="s">
        <v>95</v>
      </c>
    </row>
    <row r="187" spans="4:11" x14ac:dyDescent="0.3">
      <c r="G187" s="3">
        <f>F179/(1+15%)+G179/(1+15%)^2+G182/(1+15%)^2</f>
        <v>21408.192173913048</v>
      </c>
      <c r="H187" t="s">
        <v>18</v>
      </c>
    </row>
    <row r="189" spans="4:11" x14ac:dyDescent="0.3">
      <c r="J189" s="3">
        <f>G187-(C167+C170)+C164</f>
        <v>18458.192173913048</v>
      </c>
      <c r="K189" t="s">
        <v>18</v>
      </c>
    </row>
    <row r="219" spans="5:9" x14ac:dyDescent="0.3">
      <c r="E219" t="s">
        <v>96</v>
      </c>
      <c r="F219">
        <f>10/3.5</f>
        <v>2.8571428571428572</v>
      </c>
    </row>
    <row r="220" spans="5:9" x14ac:dyDescent="0.3">
      <c r="E220" t="s">
        <v>97</v>
      </c>
      <c r="F220">
        <f>15/5.5</f>
        <v>2.7272727272727271</v>
      </c>
    </row>
    <row r="221" spans="5:9" x14ac:dyDescent="0.3">
      <c r="E221" t="s">
        <v>98</v>
      </c>
      <c r="F221">
        <f>(F219+F220)/2</f>
        <v>2.7922077922077921</v>
      </c>
    </row>
    <row r="223" spans="5:9" x14ac:dyDescent="0.3">
      <c r="E223" t="s">
        <v>99</v>
      </c>
      <c r="H223" s="3">
        <f>F221*G167</f>
        <v>1535.7142857142858</v>
      </c>
      <c r="I223" t="s">
        <v>18</v>
      </c>
    </row>
    <row r="224" spans="5:9" x14ac:dyDescent="0.3">
      <c r="E224" t="s">
        <v>100</v>
      </c>
      <c r="H224" s="1">
        <f>H223*(1+30%)</f>
        <v>1996.4285714285716</v>
      </c>
      <c r="I224" t="s">
        <v>18</v>
      </c>
    </row>
    <row r="225" spans="5:9" x14ac:dyDescent="0.3">
      <c r="E225" t="s">
        <v>101</v>
      </c>
      <c r="H225" s="1">
        <f>H224*(1-20%)</f>
        <v>1597.1428571428573</v>
      </c>
      <c r="I225" t="s">
        <v>18</v>
      </c>
    </row>
    <row r="227" spans="5:9" x14ac:dyDescent="0.3">
      <c r="E227" t="s">
        <v>102</v>
      </c>
    </row>
    <row r="229" spans="5:9" x14ac:dyDescent="0.3">
      <c r="E229" t="s">
        <v>103</v>
      </c>
      <c r="F229" s="9">
        <f>10/12.5</f>
        <v>0.8</v>
      </c>
    </row>
    <row r="230" spans="5:9" x14ac:dyDescent="0.3">
      <c r="E230" t="s">
        <v>104</v>
      </c>
      <c r="F230" s="9">
        <f>15/17.5</f>
        <v>0.8571428571428571</v>
      </c>
    </row>
    <row r="231" spans="5:9" x14ac:dyDescent="0.3">
      <c r="E231" t="s">
        <v>105</v>
      </c>
      <c r="F231" s="10">
        <f>(F229+F230)/2</f>
        <v>0.82857142857142851</v>
      </c>
    </row>
    <row r="233" spans="5:9" x14ac:dyDescent="0.3">
      <c r="E233" t="s">
        <v>99</v>
      </c>
    </row>
    <row r="234" spans="5:9" x14ac:dyDescent="0.3">
      <c r="E234" t="s">
        <v>100</v>
      </c>
    </row>
    <row r="235" spans="5:9" x14ac:dyDescent="0.3">
      <c r="E235" t="s">
        <v>101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Dragos</dc:creator>
  <cp:lastModifiedBy>Dragos</cp:lastModifiedBy>
  <dcterms:created xsi:type="dcterms:W3CDTF">2015-06-05T18:17:20Z</dcterms:created>
  <dcterms:modified xsi:type="dcterms:W3CDTF">2026-10-12T18:12:45Z</dcterms:modified>
</cp:coreProperties>
</file>