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mbeddings/oleObject1.bin" ContentType="application/vnd.openxmlformats-officedocument.oleObject"/>
  <Override PartName="/xl/drawings/drawing3.xml" ContentType="application/vnd.openxmlformats-officedocument.drawing+xml"/>
  <Override PartName="/xl/embeddings/oleObject2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codeName="ThisWorkbook"/>
  <xr:revisionPtr revIDLastSave="0" documentId="13_ncr:1_{6C59D056-DE3F-4FEE-83BD-EB6072BB011A}" xr6:coauthVersionLast="36" xr6:coauthVersionMax="36" xr10:uidLastSave="{00000000-0000-0000-0000-000000000000}"/>
  <bookViews>
    <workbookView xWindow="0" yWindow="0" windowWidth="23040" windowHeight="8652" xr2:uid="{00000000-000D-0000-FFFF-FFFF00000000}"/>
  </bookViews>
  <sheets>
    <sheet name="Aplicatii" sheetId="9" r:id="rId1"/>
    <sheet name="Aplicatie DCF" sheetId="7" r:id="rId2"/>
    <sheet name="SC Brutar" sheetId="8" r:id="rId3"/>
  </sheets>
  <definedNames>
    <definedName name="COE">#REF!</definedName>
    <definedName name="Coef2007">#REF!</definedName>
    <definedName name="Coef2008">#REF!</definedName>
    <definedName name="Coef2009">#REF!</definedName>
    <definedName name="Coef2010">#REF!</definedName>
    <definedName name="CoefTarget">#REF!</definedName>
    <definedName name="DPR">#REF!</definedName>
    <definedName name="ede">#REF!</definedName>
    <definedName name="PGR">#REF!</definedName>
    <definedName name="rer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2" i="8" l="1"/>
  <c r="H36" i="8"/>
  <c r="I33" i="8"/>
  <c r="H33" i="8"/>
  <c r="I32" i="8"/>
  <c r="H32" i="8"/>
  <c r="I31" i="8"/>
  <c r="H31" i="8"/>
  <c r="E39" i="8"/>
  <c r="D39" i="8"/>
  <c r="B38" i="8"/>
  <c r="I30" i="8"/>
  <c r="H30" i="8"/>
  <c r="I29" i="8"/>
  <c r="H29" i="8"/>
  <c r="I28" i="8"/>
  <c r="H28" i="8"/>
  <c r="I24" i="8"/>
  <c r="H24" i="8"/>
  <c r="I22" i="8"/>
  <c r="H22" i="8"/>
  <c r="I21" i="8"/>
  <c r="H21" i="8"/>
  <c r="I19" i="8"/>
  <c r="H19" i="8"/>
  <c r="D59" i="8"/>
  <c r="C59" i="8"/>
  <c r="B59" i="8"/>
  <c r="D58" i="8"/>
  <c r="C58" i="8"/>
  <c r="I18" i="8"/>
  <c r="H18" i="8"/>
  <c r="I15" i="8"/>
  <c r="H15" i="8"/>
  <c r="I16" i="8"/>
  <c r="H16" i="8"/>
  <c r="E43" i="8"/>
  <c r="E42" i="8"/>
  <c r="D42" i="8"/>
  <c r="E7" i="8"/>
  <c r="D7" i="8"/>
  <c r="E6" i="8"/>
  <c r="D6" i="8"/>
  <c r="I13" i="8"/>
  <c r="H13" i="8"/>
  <c r="I7" i="8"/>
  <c r="H7" i="8"/>
  <c r="I11" i="8"/>
  <c r="H11" i="8"/>
  <c r="I10" i="8"/>
  <c r="H10" i="8"/>
  <c r="I8" i="8"/>
  <c r="H8" i="8"/>
  <c r="I9" i="8"/>
  <c r="H9" i="8"/>
  <c r="I6" i="8"/>
  <c r="H6" i="8"/>
  <c r="I4" i="8"/>
  <c r="H4" i="8"/>
  <c r="M42" i="7"/>
  <c r="M40" i="7"/>
  <c r="M39" i="7"/>
  <c r="M38" i="7"/>
  <c r="M37" i="7"/>
  <c r="M36" i="7"/>
  <c r="Q34" i="7"/>
  <c r="P34" i="7"/>
  <c r="O34" i="7"/>
  <c r="N34" i="7"/>
  <c r="M34" i="7"/>
  <c r="M35" i="7"/>
  <c r="M19" i="7"/>
  <c r="M16" i="7"/>
  <c r="M17" i="7"/>
  <c r="M6" i="7"/>
  <c r="M14" i="7"/>
  <c r="M13" i="7"/>
  <c r="M11" i="7"/>
  <c r="M9" i="7"/>
  <c r="M10" i="7"/>
  <c r="M7" i="7"/>
  <c r="J57" i="7"/>
  <c r="J56" i="7"/>
  <c r="J55" i="7"/>
  <c r="E38" i="7"/>
  <c r="N33" i="7"/>
  <c r="O33" i="7"/>
  <c r="P33" i="7"/>
  <c r="Q33" i="7"/>
  <c r="M33" i="7"/>
  <c r="N31" i="7"/>
  <c r="O31" i="7"/>
  <c r="P31" i="7"/>
  <c r="Q31" i="7"/>
  <c r="M31" i="7"/>
  <c r="N30" i="7"/>
  <c r="O30" i="7"/>
  <c r="P30" i="7"/>
  <c r="Q30" i="7"/>
  <c r="M30" i="7"/>
  <c r="N29" i="7"/>
  <c r="O29" i="7"/>
  <c r="P29" i="7"/>
  <c r="Q29" i="7"/>
  <c r="M29" i="7"/>
  <c r="N28" i="7"/>
  <c r="O28" i="7"/>
  <c r="P28" i="7"/>
  <c r="Q28" i="7"/>
  <c r="M28" i="7"/>
  <c r="H28" i="7"/>
  <c r="G28" i="7"/>
  <c r="F28" i="7"/>
  <c r="E28" i="7"/>
  <c r="F26" i="7"/>
  <c r="G26" i="7"/>
  <c r="H26" i="7"/>
  <c r="I26" i="7"/>
  <c r="J26" i="7"/>
  <c r="J25" i="7"/>
  <c r="G25" i="7"/>
  <c r="H25" i="7"/>
  <c r="I25" i="7"/>
  <c r="F25" i="7"/>
  <c r="F24" i="7"/>
  <c r="G24" i="7"/>
  <c r="H24" i="7"/>
  <c r="I24" i="7"/>
  <c r="J24" i="7"/>
  <c r="F23" i="7"/>
  <c r="G23" i="7"/>
  <c r="H23" i="7"/>
  <c r="I23" i="7"/>
  <c r="J23" i="7"/>
  <c r="G22" i="7"/>
  <c r="H22" i="7" s="1"/>
  <c r="I22" i="7" s="1"/>
  <c r="J22" i="7" s="1"/>
  <c r="F22" i="7"/>
  <c r="G21" i="7"/>
  <c r="H21" i="7"/>
  <c r="I21" i="7" s="1"/>
  <c r="J21" i="7" s="1"/>
  <c r="F21" i="7"/>
  <c r="F20" i="7"/>
  <c r="G20" i="7"/>
  <c r="H20" i="7"/>
  <c r="I20" i="7"/>
  <c r="J20" i="7"/>
  <c r="G19" i="7"/>
  <c r="H19" i="7"/>
  <c r="I19" i="7" s="1"/>
  <c r="J19" i="7" s="1"/>
  <c r="F19" i="7"/>
  <c r="H18" i="7"/>
  <c r="I18" i="7" s="1"/>
  <c r="J18" i="7" s="1"/>
  <c r="G18" i="7"/>
  <c r="F18" i="7"/>
  <c r="G17" i="7"/>
  <c r="H17" i="7" s="1"/>
  <c r="I17" i="7" s="1"/>
  <c r="J17" i="7" s="1"/>
  <c r="F17" i="7"/>
  <c r="G16" i="7"/>
  <c r="H16" i="7"/>
  <c r="F16" i="7"/>
  <c r="J14" i="7"/>
  <c r="G14" i="7"/>
  <c r="H14" i="7" s="1"/>
  <c r="I14" i="7" s="1"/>
  <c r="F14" i="7"/>
  <c r="H13" i="7"/>
  <c r="I13" i="7" s="1"/>
  <c r="J13" i="7" s="1"/>
  <c r="G13" i="7"/>
  <c r="F13" i="7"/>
  <c r="F12" i="7"/>
  <c r="G12" i="7"/>
  <c r="H12" i="7"/>
  <c r="I12" i="7"/>
  <c r="J12" i="7"/>
  <c r="G11" i="7"/>
  <c r="G9" i="7" s="1"/>
  <c r="H11" i="7"/>
  <c r="H9" i="7" s="1"/>
  <c r="I11" i="7"/>
  <c r="I9" i="7" s="1"/>
  <c r="J11" i="7"/>
  <c r="F11" i="7"/>
  <c r="G10" i="7"/>
  <c r="H10" i="7"/>
  <c r="I10" i="7"/>
  <c r="J10" i="7"/>
  <c r="J9" i="7" s="1"/>
  <c r="F10" i="7"/>
  <c r="F6" i="7"/>
  <c r="G6" i="7"/>
  <c r="H6" i="7"/>
  <c r="I6" i="7"/>
  <c r="J6" i="7"/>
  <c r="E6" i="7"/>
  <c r="H8" i="7"/>
  <c r="G8" i="7"/>
  <c r="I8" i="7"/>
  <c r="J8" i="7" s="1"/>
  <c r="F8" i="7"/>
  <c r="G7" i="7"/>
  <c r="H7" i="7"/>
  <c r="I7" i="7" s="1"/>
  <c r="J7" i="7" s="1"/>
  <c r="F7" i="7"/>
  <c r="F95" i="7"/>
  <c r="G95" i="7" s="1"/>
  <c r="H95" i="7" s="1"/>
  <c r="I95" i="7" s="1"/>
  <c r="J95" i="7" s="1"/>
  <c r="C95" i="7"/>
  <c r="D95" i="7"/>
  <c r="E95" i="7"/>
  <c r="B95" i="7"/>
  <c r="H90" i="7"/>
  <c r="I90" i="7" s="1"/>
  <c r="J90" i="7" s="1"/>
  <c r="G90" i="7"/>
  <c r="F90" i="7"/>
  <c r="D90" i="7"/>
  <c r="E90" i="7"/>
  <c r="C90" i="7"/>
  <c r="E86" i="7"/>
  <c r="D86" i="7"/>
  <c r="C86" i="7"/>
  <c r="F86" i="7" s="1"/>
  <c r="G86" i="7" s="1"/>
  <c r="H86" i="7" s="1"/>
  <c r="I86" i="7" s="1"/>
  <c r="J86" i="7" s="1"/>
  <c r="C82" i="7"/>
  <c r="D82" i="7"/>
  <c r="F82" i="7" s="1"/>
  <c r="G82" i="7" s="1"/>
  <c r="H82" i="7" s="1"/>
  <c r="I82" i="7" s="1"/>
  <c r="J82" i="7" s="1"/>
  <c r="E82" i="7"/>
  <c r="B82" i="7"/>
  <c r="D81" i="7"/>
  <c r="E81" i="7"/>
  <c r="C81" i="7"/>
  <c r="B81" i="7"/>
  <c r="F81" i="7" s="1"/>
  <c r="G81" i="7" s="1"/>
  <c r="H81" i="7" s="1"/>
  <c r="I81" i="7" s="1"/>
  <c r="J81" i="7" s="1"/>
  <c r="E78" i="7"/>
  <c r="D78" i="7"/>
  <c r="C78" i="7"/>
  <c r="B78" i="7"/>
  <c r="E75" i="7"/>
  <c r="D75" i="7"/>
  <c r="C75" i="7"/>
  <c r="B75" i="7"/>
  <c r="F70" i="7"/>
  <c r="H70" i="7" s="1"/>
  <c r="E70" i="7"/>
  <c r="D70" i="7"/>
  <c r="C70" i="7"/>
  <c r="E69" i="7"/>
  <c r="D69" i="7"/>
  <c r="C69" i="7"/>
  <c r="F69" i="7" s="1"/>
  <c r="E66" i="7"/>
  <c r="D66" i="7"/>
  <c r="C66" i="7"/>
  <c r="B66" i="7"/>
  <c r="E50" i="7"/>
  <c r="F15" i="7" l="1"/>
  <c r="H15" i="7"/>
  <c r="I16" i="7"/>
  <c r="G15" i="7"/>
  <c r="F9" i="7"/>
  <c r="G70" i="7"/>
  <c r="J70" i="7"/>
  <c r="I70" i="7"/>
  <c r="H69" i="7"/>
  <c r="G69" i="7"/>
  <c r="J16" i="7" l="1"/>
  <c r="J15" i="7" s="1"/>
  <c r="I15" i="7"/>
  <c r="I69" i="7"/>
  <c r="J69" i="7"/>
  <c r="B119" i="9" l="1"/>
  <c r="B118" i="9"/>
  <c r="B117" i="9"/>
  <c r="B111" i="9" l="1"/>
  <c r="D97" i="9"/>
  <c r="D95" i="9"/>
  <c r="D94" i="9"/>
  <c r="B65" i="9"/>
  <c r="C72" i="9"/>
  <c r="B52" i="9"/>
  <c r="B31" i="9"/>
  <c r="B51" i="9"/>
  <c r="C30" i="9"/>
  <c r="B17" i="9"/>
  <c r="B6" i="7" l="1"/>
  <c r="B15" i="7"/>
  <c r="E15" i="7" l="1"/>
  <c r="C23" i="7" l="1"/>
  <c r="C15" i="7" l="1"/>
  <c r="D15" i="7"/>
  <c r="B57" i="7" l="1"/>
  <c r="B60" i="7" s="1"/>
  <c r="B48" i="7"/>
  <c r="B52" i="7" s="1"/>
  <c r="E23" i="7"/>
  <c r="D23" i="7"/>
  <c r="B23" i="7"/>
  <c r="E9" i="7"/>
  <c r="D9" i="7"/>
  <c r="C9" i="7"/>
  <c r="B9" i="7"/>
  <c r="B12" i="7" s="1"/>
  <c r="B20" i="7" s="1"/>
  <c r="E52" i="7"/>
  <c r="D6" i="7"/>
  <c r="C6" i="7"/>
  <c r="B24" i="7" l="1"/>
  <c r="I28" i="7"/>
  <c r="J28" i="7"/>
  <c r="F27" i="7"/>
  <c r="C12" i="7"/>
  <c r="C20" i="7" s="1"/>
  <c r="C24" i="7" s="1"/>
  <c r="D12" i="7"/>
  <c r="D20" i="7" s="1"/>
  <c r="D24" i="7" s="1"/>
  <c r="E12" i="7"/>
  <c r="E20" i="7" s="1"/>
  <c r="E24" i="7" s="1"/>
  <c r="E25" i="7" s="1"/>
  <c r="E26" i="7" s="1"/>
  <c r="E27" i="7" s="1"/>
  <c r="C25" i="7" l="1"/>
  <c r="C26" i="7" s="1"/>
  <c r="C27" i="7" s="1"/>
  <c r="D25" i="7"/>
  <c r="D26" i="7" s="1"/>
  <c r="D27" i="7" s="1"/>
  <c r="B25" i="7"/>
  <c r="B26" i="7" s="1"/>
  <c r="B27" i="7" s="1"/>
  <c r="G27" i="7"/>
  <c r="H27" i="7" l="1"/>
  <c r="J27" i="7" l="1"/>
  <c r="I27" i="7"/>
</calcChain>
</file>

<file path=xl/sharedStrings.xml><?xml version="1.0" encoding="utf-8"?>
<sst xmlns="http://schemas.openxmlformats.org/spreadsheetml/2006/main" count="289" uniqueCount="212">
  <si>
    <t>Marja Bruta</t>
  </si>
  <si>
    <t>Profitul brut din exploatare - EBIT</t>
  </si>
  <si>
    <t>FNNI - CFD</t>
  </si>
  <si>
    <t>FNNI - CFD actualizat</t>
  </si>
  <si>
    <t>Suma FNNI - CFD actualizat</t>
  </si>
  <si>
    <t>Valuarea terminala</t>
  </si>
  <si>
    <t>Valuarea terminala actualizata</t>
  </si>
  <si>
    <t>Valoarea intreprinderii</t>
  </si>
  <si>
    <t>Situatia veniturilor si cheltuielilor</t>
  </si>
  <si>
    <t>Venituri, Total</t>
  </si>
  <si>
    <t>Venituri din marfuri</t>
  </si>
  <si>
    <t>Cheltuieli cu marfurile (cheltuieli variabile)</t>
  </si>
  <si>
    <t>Alte venituri operationale</t>
  </si>
  <si>
    <t>Chetuieli de marketing</t>
  </si>
  <si>
    <t>Salarii</t>
  </si>
  <si>
    <t>Taxe locale</t>
  </si>
  <si>
    <t>Amortizare/Deprecieri</t>
  </si>
  <si>
    <t>Alte cheltuieli operationale</t>
  </si>
  <si>
    <t>Venituri financiare (Conturi curente)</t>
  </si>
  <si>
    <t>Cheltuieli financiare (dobanzi)</t>
  </si>
  <si>
    <t>Rezultat financiar</t>
  </si>
  <si>
    <t>Profitul brut</t>
  </si>
  <si>
    <t xml:space="preserve">Impozitul pe profit </t>
  </si>
  <si>
    <t>Profitul net</t>
  </si>
  <si>
    <t>+Amortizari/Dep</t>
  </si>
  <si>
    <t>- ΔNFR</t>
  </si>
  <si>
    <t>- CAPEX</t>
  </si>
  <si>
    <t>2. Ponderea cheltuielilor variabile se mentine constanta</t>
  </si>
  <si>
    <t>IPOTEZE</t>
  </si>
  <si>
    <t>Scenariul de baza</t>
  </si>
  <si>
    <t>Cheltuieli generale si administrative</t>
  </si>
  <si>
    <t>Rata de actualizare - Costul capitalurilor investite (CMPC)</t>
  </si>
  <si>
    <t>Kcpr</t>
  </si>
  <si>
    <t>Kdatorii</t>
  </si>
  <si>
    <t>Rata de dobanda medie</t>
  </si>
  <si>
    <t>Rata de actualizare</t>
  </si>
  <si>
    <t>Venituri din servicii</t>
  </si>
  <si>
    <t>Costul cu marfurile si serviciile</t>
  </si>
  <si>
    <t>Cheltuieli cu serviciile (cheltuieli variabile)</t>
  </si>
  <si>
    <t xml:space="preserve">7. K - este fundamentat prin CMPC. Societatea activeaza in sectorul retail, iar pentru costul capitalului propriu folosim CAPM. </t>
  </si>
  <si>
    <t>Activ</t>
  </si>
  <si>
    <t>Active imobilizate</t>
  </si>
  <si>
    <t>Active circulante:</t>
  </si>
  <si>
    <t>- Stocuri</t>
  </si>
  <si>
    <t>- Clienți</t>
  </si>
  <si>
    <t>.- Casa si conturile la banci</t>
  </si>
  <si>
    <t>TOTAL Activ</t>
  </si>
  <si>
    <t>Capitaluri si Datorii</t>
  </si>
  <si>
    <t>Capitaluri proprii</t>
  </si>
  <si>
    <t>Datorii financiare pe TL</t>
  </si>
  <si>
    <t>Datorii curente:</t>
  </si>
  <si>
    <t>- Datorii de exploatare</t>
  </si>
  <si>
    <t>- Credite bancare pe TS</t>
  </si>
  <si>
    <t>TOTAL Capitaluri și datorii</t>
  </si>
  <si>
    <t>1.Veniturile din marfuri si servicii isi vor pastra trendul istoric</t>
  </si>
  <si>
    <t>NFR adecvat</t>
  </si>
  <si>
    <t>CMPC - Rata de actualizare</t>
  </si>
  <si>
    <t>Valoarea capitalurilor proprii</t>
  </si>
  <si>
    <t>2026e</t>
  </si>
  <si>
    <t>2027e</t>
  </si>
  <si>
    <t>Rf</t>
  </si>
  <si>
    <t>prima de piata</t>
  </si>
  <si>
    <t>Valoarea unei actiuni/parti sociale</t>
  </si>
  <si>
    <t>6. NFR - 17,26% din cifra de afaceri</t>
  </si>
  <si>
    <t>FNNI</t>
  </si>
  <si>
    <t>flux net de numerar al intreprinderii</t>
  </si>
  <si>
    <t>VT = CF din ultimul an (1+g) / (k-g)</t>
  </si>
  <si>
    <t>Total actiuni/parti sociale = 1,000,000</t>
  </si>
  <si>
    <t>2028e</t>
  </si>
  <si>
    <t>Scopul evaluarii este stabilirea valorii de piata din perspectiva vanzarii societatii</t>
  </si>
  <si>
    <t>BrutarPAN SA</t>
  </si>
  <si>
    <t>Elemente</t>
  </si>
  <si>
    <t>Valoare in lei</t>
  </si>
  <si>
    <t>Durata de amortizare</t>
  </si>
  <si>
    <t>Terenuri</t>
  </si>
  <si>
    <t>Cladiri</t>
  </si>
  <si>
    <t>Utilaje</t>
  </si>
  <si>
    <t>paini/h</t>
  </si>
  <si>
    <t>Productia totala este vanduta</t>
  </si>
  <si>
    <t>2 schimburi, 8 ore/schimb/ 360 zile pe an</t>
  </si>
  <si>
    <t>Vanzari</t>
  </si>
  <si>
    <t>Pret de vanzare</t>
  </si>
  <si>
    <t>lei/bucata</t>
  </si>
  <si>
    <t>Costuri variabile</t>
  </si>
  <si>
    <t>Costuri variabile (costuri variabile)</t>
  </si>
  <si>
    <t>Valori</t>
  </si>
  <si>
    <t>Faina</t>
  </si>
  <si>
    <t>Unitate de masura</t>
  </si>
  <si>
    <t>Salarii:</t>
  </si>
  <si>
    <t>4 brutari</t>
  </si>
  <si>
    <t>2 soferi</t>
  </si>
  <si>
    <t>1 vanzator</t>
  </si>
  <si>
    <t>Cheltuieli cu energia</t>
  </si>
  <si>
    <t>Alte ch variabile</t>
  </si>
  <si>
    <t>Cheltuieli fixe</t>
  </si>
  <si>
    <t>Utilitati</t>
  </si>
  <si>
    <t>Mentenanta</t>
  </si>
  <si>
    <t>Salarii TESA</t>
  </si>
  <si>
    <t>lei anual</t>
  </si>
  <si>
    <t>Rotatia stocurilor</t>
  </si>
  <si>
    <t>Rotatia creante</t>
  </si>
  <si>
    <t>Plata datoriilor curente</t>
  </si>
  <si>
    <t>Finantarea activitatii curent (rate de rotatie)</t>
  </si>
  <si>
    <t>zile</t>
  </si>
  <si>
    <t>Investitii</t>
  </si>
  <si>
    <t>Cuptor</t>
  </si>
  <si>
    <t>Masina de feliat</t>
  </si>
  <si>
    <t>Finantare pe termen lung</t>
  </si>
  <si>
    <t>Marje de profit</t>
  </si>
  <si>
    <t>Profit net</t>
  </si>
  <si>
    <t>NFR</t>
  </si>
  <si>
    <t>NFR = Stocurilor + Creantelor - Datoriilor de exploatare</t>
  </si>
  <si>
    <t>NFR / Cifra de afaceri</t>
  </si>
  <si>
    <t>Informatii privind activele societatii</t>
  </si>
  <si>
    <t>Capacitate productie</t>
  </si>
  <si>
    <t>Amortizare 20 ani</t>
  </si>
  <si>
    <t>Amortizare 10 ani</t>
  </si>
  <si>
    <t>Credit de 400.000 cu rambursare In 5 ani, dobanda 10%</t>
  </si>
  <si>
    <t>Cerinte</t>
  </si>
  <si>
    <t>c)Estimati valoarea intreprinderii daca k=12%, Valoarea terminala = 2.000.000</t>
  </si>
  <si>
    <t>Element</t>
  </si>
  <si>
    <t>Productia anuala</t>
  </si>
  <si>
    <t>Venituri (Cifra de afaceri)</t>
  </si>
  <si>
    <t xml:space="preserve">   Faina</t>
  </si>
  <si>
    <t xml:space="preserve">   Salarii</t>
  </si>
  <si>
    <t xml:space="preserve">   Energie</t>
  </si>
  <si>
    <t xml:space="preserve">   Alta ch variabile</t>
  </si>
  <si>
    <t>Costuri fixe</t>
  </si>
  <si>
    <t>EBITDA</t>
  </si>
  <si>
    <t>.-cheltuieli cu Amortizarea</t>
  </si>
  <si>
    <t>EBIT</t>
  </si>
  <si>
    <t>Rambursare in rate anuale egale</t>
  </si>
  <si>
    <t>.-Chelt cu dobanda</t>
  </si>
  <si>
    <t>Profit brut</t>
  </si>
  <si>
    <t>Impozit</t>
  </si>
  <si>
    <t>Estimarea cash-flow-urilor disponibile</t>
  </si>
  <si>
    <t>.+Ch dob(1-16%)</t>
  </si>
  <si>
    <t>2029e</t>
  </si>
  <si>
    <t>2030e</t>
  </si>
  <si>
    <t>a)Estimati venituri, cheltuielile si profitul entitatii in 2026 si 2027</t>
  </si>
  <si>
    <t>b)Estimati CFD in 2026 si 2027</t>
  </si>
  <si>
    <t>4.Taxele locale si restul cheltuielilor se mentin constante cu nivelul din 2025</t>
  </si>
  <si>
    <t xml:space="preserve">NFR 2025 = </t>
  </si>
  <si>
    <t>Pondere capital propriu in total capitaluri= Capital propriu / (Capital propriu + datorii pe TL)</t>
  </si>
  <si>
    <t>Pondere datorii pe TL in total capitaluri = Datorii pe TL / (Capital propriu + datorii pe TL)</t>
  </si>
  <si>
    <t>8.Sectorul retail, conform INS are urmatoarele rate de crestere in ultimii ani: 3.7%, 4.2%, 4.1%, 3.9%.  - Va putea avea impact in rata de crestere a CFD (FNNI) de dupa perioada de previziune explicita</t>
  </si>
  <si>
    <t>Pondere cpr = CPR / (CPR + dat TL)</t>
  </si>
  <si>
    <t>Pondere dat TL = dat TL / (CPR+dat TL)</t>
  </si>
  <si>
    <t>+Ch dob(1-16%)</t>
  </si>
  <si>
    <t>Gradul de realizare a productiei: 80% (2026) si 95% (2027)</t>
  </si>
  <si>
    <t>d)Să se estimeze valoarea de piață a societății utilizând abordarea prin comparație, în condițiile în care valoarea indicatorului PER (Prețul acțiune / Profit net pe acțiune) al companiilor similare şi relevante este de 2,5. Pentru societatea BrutarPan S.A se vor folosi informațiile financiare estimate pentru anul 2026</t>
  </si>
  <si>
    <t>Valoarea intrepriderii dupa PER</t>
  </si>
  <si>
    <t>Valoarea intrepriderii (DCF)</t>
  </si>
  <si>
    <t>Bilant 31.12.2025</t>
  </si>
  <si>
    <t>beta unlevered pentru sector</t>
  </si>
  <si>
    <t>beta levered pentru subiect</t>
  </si>
  <si>
    <t>levier subiect</t>
  </si>
  <si>
    <t>An</t>
  </si>
  <si>
    <t>VT</t>
  </si>
  <si>
    <t>k</t>
  </si>
  <si>
    <t>VI</t>
  </si>
  <si>
    <t>VT=FNNI5/k</t>
  </si>
  <si>
    <t>g=0</t>
  </si>
  <si>
    <t>VI=</t>
  </si>
  <si>
    <t>lei</t>
  </si>
  <si>
    <t>g=5.5%</t>
  </si>
  <si>
    <t>VT=</t>
  </si>
  <si>
    <t>CMPC=K=</t>
  </si>
  <si>
    <t>Kimprumutat=</t>
  </si>
  <si>
    <t>Rf=</t>
  </si>
  <si>
    <t>Rdob=</t>
  </si>
  <si>
    <t>Prima de risc a pieteti = (Rm-Rf)=</t>
  </si>
  <si>
    <t>beta=</t>
  </si>
  <si>
    <t>YTM=randament la scadenta</t>
  </si>
  <si>
    <t>Kcpr= Rf+Beta*(Rm-Rf)</t>
  </si>
  <si>
    <t>Kcredit=Rdob*(1-t)</t>
  </si>
  <si>
    <t>Kobligatiuni=</t>
  </si>
  <si>
    <t xml:space="preserve">CMPC= </t>
  </si>
  <si>
    <t>CAPM</t>
  </si>
  <si>
    <t>Beta pt gre=</t>
  </si>
  <si>
    <t>Beta pt og=</t>
  </si>
  <si>
    <t>Beta pt steel=</t>
  </si>
  <si>
    <t>Prima de risc de piata pt Romania=</t>
  </si>
  <si>
    <t>Rf pt Romania=</t>
  </si>
  <si>
    <t>https://bvb.ro/FinancialInstruments/Details/FinancialInstrumentsDetails.aspx?s=R3608A</t>
  </si>
  <si>
    <t>https://bvb.ro/FinancialInstruments/Details/FinancialInstrumentsDetails.aspx?s=R3607A</t>
  </si>
  <si>
    <t>https://bvb.ro/FinancialInstruments/Details/FinancialInstrumentsDetails.aspx?s=R3606A</t>
  </si>
  <si>
    <t>YTM</t>
  </si>
  <si>
    <t>Damodaran</t>
  </si>
  <si>
    <t>Kcpr pt gre=</t>
  </si>
  <si>
    <t>Kcpr pt og=</t>
  </si>
  <si>
    <t>Kcpr pt steel=</t>
  </si>
  <si>
    <t>https://pages.stern.nyu.edu/~adamodar/</t>
  </si>
  <si>
    <t>3.Cheltuielile cu salariile cresc cu rata inflatiei de 4% anual si va angaja anual salariati noi cu un venit brut incluzand CAM de 850000 lei</t>
  </si>
  <si>
    <t>Estimare venituri si cheltuieli</t>
  </si>
  <si>
    <t>Modificarea relativa a veniturilor din mf</t>
  </si>
  <si>
    <t>Modificarea relativa a veniturilor din servicii</t>
  </si>
  <si>
    <t xml:space="preserve">5.Societatea va face investitii de 1 mil (finantata din surse proprii) in anul 2026 ceea ce va duce la o crestere a vanzarilor cu 5% din anul urmator. Este vorba de un echipament modern al carei amortizare se realizeaza in 10 ani. </t>
  </si>
  <si>
    <t xml:space="preserve">5.Societatea va face investitii de 1 mil (finantate din surse proprii) in anul 2026 ceea ce va duce la o crestere a vanzarilor cu 5% in anul urmator. Este vorba de un echipament modern al carei amortizare se realizeaza in 10 ani. </t>
  </si>
  <si>
    <t>Ponderea ch cu mf in CA</t>
  </si>
  <si>
    <t>Ponderea ch cu servicii in CA</t>
  </si>
  <si>
    <t>Modificarea relativa a ch mk</t>
  </si>
  <si>
    <t>Modificarea relativa a venituri financiare</t>
  </si>
  <si>
    <t>Cota de impozit pe profit efectiva</t>
  </si>
  <si>
    <t>Damodaran Europe - Retail (General)</t>
  </si>
  <si>
    <t>Medie YTM scadenta10 ani BVB</t>
  </si>
  <si>
    <t>g-rata de crestere</t>
  </si>
  <si>
    <t>Pret/buc</t>
  </si>
  <si>
    <t>Sold initial</t>
  </si>
  <si>
    <t xml:space="preserve">Dobanda </t>
  </si>
  <si>
    <t>Transa anuala</t>
  </si>
  <si>
    <t>Rotatia NFR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</si>
</sst>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0.0000%"/>
    <numFmt numFmtId="166" formatCode="0.000%"/>
  </numFmts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12"/>
      <color theme="1"/>
      <name val="Times New Roman"/>
      <family val="1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1"/>
      <color theme="1"/>
      <name val="Arial"/>
      <family val="2"/>
    </font>
    <font>
      <b/>
      <sz val="11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rgb="FFFF0000"/>
      <name val="Arial"/>
      <family val="2"/>
    </font>
    <font>
      <sz val="10"/>
      <color rgb="FFFF000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D8D8D8"/>
      </patternFill>
    </fill>
    <fill>
      <patternFill patternType="solid">
        <fgColor rgb="FFD8D8D8"/>
        <bgColor rgb="FFD8D8D8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rgb="FFD8D8D8"/>
      </patternFill>
    </fill>
    <fill>
      <patternFill patternType="solid">
        <fgColor rgb="FFD9D9D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9" fillId="0" borderId="0"/>
    <xf numFmtId="0" fontId="8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8" fillId="0" borderId="0" applyNumberFormat="0" applyFill="0" applyBorder="0" applyAlignment="0" applyProtection="0"/>
  </cellStyleXfs>
  <cellXfs count="145">
    <xf numFmtId="0" fontId="0" fillId="0" borderId="0" xfId="0"/>
    <xf numFmtId="0" fontId="2" fillId="0" borderId="0" xfId="0" applyFont="1" applyFill="1" applyBorder="1" applyAlignment="1">
      <alignment horizontal="justify" vertical="center" wrapText="1"/>
    </xf>
    <xf numFmtId="3" fontId="4" fillId="5" borderId="1" xfId="0" applyNumberFormat="1" applyFont="1" applyFill="1" applyBorder="1"/>
    <xf numFmtId="3" fontId="5" fillId="0" borderId="1" xfId="0" applyNumberFormat="1" applyFont="1" applyBorder="1"/>
    <xf numFmtId="3" fontId="4" fillId="0" borderId="1" xfId="0" applyNumberFormat="1" applyFont="1" applyBorder="1" applyAlignment="1"/>
    <xf numFmtId="3" fontId="4" fillId="3" borderId="1" xfId="0" applyNumberFormat="1" applyFont="1" applyFill="1" applyBorder="1" applyAlignment="1"/>
    <xf numFmtId="3" fontId="5" fillId="0" borderId="1" xfId="0" applyNumberFormat="1" applyFont="1" applyBorder="1" applyAlignment="1"/>
    <xf numFmtId="3" fontId="0" fillId="0" borderId="1" xfId="0" applyNumberFormat="1" applyFont="1" applyFill="1" applyBorder="1"/>
    <xf numFmtId="0" fontId="0" fillId="0" borderId="0" xfId="0" applyFill="1"/>
    <xf numFmtId="3" fontId="1" fillId="2" borderId="1" xfId="0" applyNumberFormat="1" applyFont="1" applyFill="1" applyBorder="1"/>
    <xf numFmtId="0" fontId="7" fillId="0" borderId="0" xfId="0" applyFont="1" applyFill="1" applyBorder="1" applyAlignment="1">
      <alignment horizontal="justify" vertical="center" wrapText="1"/>
    </xf>
    <xf numFmtId="3" fontId="1" fillId="0" borderId="0" xfId="0" applyNumberFormat="1" applyFont="1" applyFill="1" applyBorder="1"/>
    <xf numFmtId="0" fontId="0" fillId="0" borderId="0" xfId="0" applyFill="1" applyBorder="1"/>
    <xf numFmtId="10" fontId="0" fillId="0" borderId="0" xfId="0" applyNumberFormat="1" applyFill="1" applyBorder="1"/>
    <xf numFmtId="0" fontId="8" fillId="0" borderId="1" xfId="0" applyFont="1" applyBorder="1" applyAlignment="1">
      <alignment horizontal="justify" vertical="center" wrapText="1"/>
    </xf>
    <xf numFmtId="0" fontId="8" fillId="2" borderId="1" xfId="0" applyFont="1" applyFill="1" applyBorder="1" applyAlignment="1">
      <alignment horizontal="justify" vertical="center" wrapText="1"/>
    </xf>
    <xf numFmtId="0" fontId="8" fillId="0" borderId="1" xfId="0" applyFont="1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6" xfId="0" applyBorder="1"/>
    <xf numFmtId="0" fontId="0" fillId="0" borderId="5" xfId="0" applyBorder="1"/>
    <xf numFmtId="0" fontId="3" fillId="5" borderId="7" xfId="0" applyFont="1" applyFill="1" applyBorder="1"/>
    <xf numFmtId="0" fontId="3" fillId="0" borderId="7" xfId="0" applyFont="1" applyBorder="1"/>
    <xf numFmtId="0" fontId="3" fillId="3" borderId="7" xfId="0" applyFont="1" applyFill="1" applyBorder="1"/>
    <xf numFmtId="0" fontId="6" fillId="0" borderId="7" xfId="0" applyFont="1" applyBorder="1"/>
    <xf numFmtId="0" fontId="6" fillId="0" borderId="7" xfId="0" applyFont="1" applyBorder="1" applyAlignment="1"/>
    <xf numFmtId="0" fontId="3" fillId="6" borderId="7" xfId="0" applyFont="1" applyFill="1" applyBorder="1"/>
    <xf numFmtId="0" fontId="3" fillId="0" borderId="5" xfId="0" applyFont="1" applyFill="1" applyBorder="1"/>
    <xf numFmtId="0" fontId="1" fillId="4" borderId="5" xfId="0" applyFont="1" applyFill="1" applyBorder="1"/>
    <xf numFmtId="0" fontId="0" fillId="4" borderId="0" xfId="0" applyFill="1" applyBorder="1"/>
    <xf numFmtId="0" fontId="0" fillId="0" borderId="6" xfId="0" applyFill="1" applyBorder="1"/>
    <xf numFmtId="9" fontId="0" fillId="0" borderId="0" xfId="0" applyNumberFormat="1" applyBorder="1" applyAlignment="1">
      <alignment horizontal="left"/>
    </xf>
    <xf numFmtId="0" fontId="0" fillId="0" borderId="9" xfId="0" applyBorder="1"/>
    <xf numFmtId="0" fontId="0" fillId="0" borderId="10" xfId="0" applyBorder="1"/>
    <xf numFmtId="10" fontId="0" fillId="0" borderId="0" xfId="0" applyNumberFormat="1" applyBorder="1"/>
    <xf numFmtId="0" fontId="0" fillId="0" borderId="8" xfId="0" applyBorder="1"/>
    <xf numFmtId="0" fontId="1" fillId="7" borderId="1" xfId="0" applyFont="1" applyFill="1" applyBorder="1"/>
    <xf numFmtId="3" fontId="1" fillId="2" borderId="12" xfId="0" applyNumberFormat="1" applyFont="1" applyFill="1" applyBorder="1"/>
    <xf numFmtId="0" fontId="8" fillId="2" borderId="11" xfId="0" applyFont="1" applyFill="1" applyBorder="1" applyAlignment="1">
      <alignment horizontal="justify" vertical="center" wrapText="1"/>
    </xf>
    <xf numFmtId="0" fontId="8" fillId="7" borderId="15" xfId="0" applyFont="1" applyFill="1" applyBorder="1" applyAlignment="1">
      <alignment horizontal="justify" vertical="center" wrapText="1"/>
    </xf>
    <xf numFmtId="3" fontId="1" fillId="2" borderId="14" xfId="0" applyNumberFormat="1" applyFont="1" applyFill="1" applyBorder="1"/>
    <xf numFmtId="10" fontId="1" fillId="7" borderId="13" xfId="0" applyNumberFormat="1" applyFont="1" applyFill="1" applyBorder="1"/>
    <xf numFmtId="0" fontId="6" fillId="0" borderId="5" xfId="0" applyFont="1" applyFill="1" applyBorder="1" applyAlignment="1">
      <alignment horizontal="left"/>
    </xf>
    <xf numFmtId="0" fontId="0" fillId="7" borderId="7" xfId="0" applyFill="1" applyBorder="1"/>
    <xf numFmtId="0" fontId="1" fillId="7" borderId="1" xfId="0" applyFont="1" applyFill="1" applyBorder="1" applyAlignment="1">
      <alignment horizontal="right"/>
    </xf>
    <xf numFmtId="0" fontId="3" fillId="8" borderId="7" xfId="0" applyFont="1" applyFill="1" applyBorder="1"/>
    <xf numFmtId="3" fontId="4" fillId="8" borderId="1" xfId="0" applyNumberFormat="1" applyFont="1" applyFill="1" applyBorder="1"/>
    <xf numFmtId="0" fontId="1" fillId="4" borderId="0" xfId="0" applyFont="1" applyFill="1" applyBorder="1" applyAlignment="1">
      <alignment horizontal="center"/>
    </xf>
    <xf numFmtId="0" fontId="10" fillId="9" borderId="1" xfId="0" applyFont="1" applyFill="1" applyBorder="1" applyAlignment="1">
      <alignment vertical="center" wrapText="1"/>
    </xf>
    <xf numFmtId="15" fontId="10" fillId="9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3" fontId="10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3" fontId="11" fillId="0" borderId="1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3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justify" vertical="center" wrapText="1"/>
    </xf>
    <xf numFmtId="0" fontId="3" fillId="10" borderId="5" xfId="0" applyFont="1" applyFill="1" applyBorder="1"/>
    <xf numFmtId="3" fontId="4" fillId="10" borderId="0" xfId="0" applyNumberFormat="1" applyFont="1" applyFill="1" applyBorder="1"/>
    <xf numFmtId="0" fontId="0" fillId="0" borderId="1" xfId="0" applyBorder="1"/>
    <xf numFmtId="10" fontId="0" fillId="0" borderId="1" xfId="0" applyNumberFormat="1" applyBorder="1"/>
    <xf numFmtId="2" fontId="0" fillId="0" borderId="1" xfId="0" applyNumberFormat="1" applyBorder="1"/>
    <xf numFmtId="0" fontId="1" fillId="2" borderId="1" xfId="0" applyFont="1" applyFill="1" applyBorder="1"/>
    <xf numFmtId="10" fontId="2" fillId="2" borderId="1" xfId="0" applyNumberFormat="1" applyFont="1" applyFill="1" applyBorder="1"/>
    <xf numFmtId="0" fontId="12" fillId="2" borderId="12" xfId="0" applyFont="1" applyFill="1" applyBorder="1" applyAlignment="1">
      <alignment horizontal="justify" vertical="center" wrapText="1"/>
    </xf>
    <xf numFmtId="0" fontId="4" fillId="0" borderId="5" xfId="0" applyFont="1" applyFill="1" applyBorder="1"/>
    <xf numFmtId="0" fontId="0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3" fontId="0" fillId="0" borderId="1" xfId="0" applyNumberFormat="1" applyBorder="1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Fill="1" applyBorder="1"/>
    <xf numFmtId="10" fontId="4" fillId="0" borderId="0" xfId="0" applyNumberFormat="1" applyFont="1" applyFill="1" applyBorder="1"/>
    <xf numFmtId="10" fontId="1" fillId="0" borderId="0" xfId="0" applyNumberFormat="1" applyFont="1"/>
    <xf numFmtId="0" fontId="8" fillId="7" borderId="16" xfId="0" applyFont="1" applyFill="1" applyBorder="1" applyAlignment="1">
      <alignment horizontal="justify" vertical="center" wrapText="1"/>
    </xf>
    <xf numFmtId="3" fontId="1" fillId="7" borderId="17" xfId="0" applyNumberFormat="1" applyFont="1" applyFill="1" applyBorder="1"/>
    <xf numFmtId="0" fontId="13" fillId="11" borderId="1" xfId="0" applyFont="1" applyFill="1" applyBorder="1" applyAlignment="1">
      <alignment horizontal="justify" vertical="center" wrapText="1"/>
    </xf>
    <xf numFmtId="3" fontId="14" fillId="11" borderId="1" xfId="0" applyNumberFormat="1" applyFont="1" applyFill="1" applyBorder="1"/>
    <xf numFmtId="0" fontId="15" fillId="2" borderId="1" xfId="0" applyFont="1" applyFill="1" applyBorder="1" applyAlignment="1">
      <alignment horizontal="justify" vertical="center" wrapText="1"/>
    </xf>
    <xf numFmtId="2" fontId="14" fillId="0" borderId="1" xfId="0" applyNumberFormat="1" applyFont="1" applyBorder="1"/>
    <xf numFmtId="0" fontId="1" fillId="11" borderId="0" xfId="0" applyFont="1" applyFill="1"/>
    <xf numFmtId="0" fontId="1" fillId="12" borderId="0" xfId="0" applyFont="1" applyFill="1"/>
    <xf numFmtId="0" fontId="0" fillId="12" borderId="0" xfId="0" applyFill="1"/>
    <xf numFmtId="0" fontId="1" fillId="12" borderId="0" xfId="0" applyFont="1" applyFill="1" applyAlignment="1">
      <alignment horizontal="right"/>
    </xf>
    <xf numFmtId="0" fontId="1" fillId="12" borderId="1" xfId="0" applyFont="1" applyFill="1" applyBorder="1"/>
    <xf numFmtId="0" fontId="1" fillId="13" borderId="1" xfId="0" applyFont="1" applyFill="1" applyBorder="1" applyAlignment="1">
      <alignment horizontal="center"/>
    </xf>
    <xf numFmtId="3" fontId="1" fillId="0" borderId="1" xfId="0" applyNumberFormat="1" applyFont="1" applyBorder="1"/>
    <xf numFmtId="0" fontId="0" fillId="0" borderId="18" xfId="0" applyBorder="1" applyAlignment="1">
      <alignment horizontal="right"/>
    </xf>
    <xf numFmtId="0" fontId="1" fillId="14" borderId="1" xfId="0" applyFont="1" applyFill="1" applyBorder="1"/>
    <xf numFmtId="3" fontId="1" fillId="14" borderId="1" xfId="0" applyNumberFormat="1" applyFont="1" applyFill="1" applyBorder="1"/>
    <xf numFmtId="10" fontId="1" fillId="2" borderId="1" xfId="0" applyNumberFormat="1" applyFont="1" applyFill="1" applyBorder="1"/>
    <xf numFmtId="3" fontId="4" fillId="2" borderId="1" xfId="0" applyNumberFormat="1" applyFont="1" applyFill="1" applyBorder="1"/>
    <xf numFmtId="0" fontId="1" fillId="2" borderId="0" xfId="0" applyFont="1" applyFill="1"/>
    <xf numFmtId="0" fontId="17" fillId="0" borderId="0" xfId="0" applyFont="1"/>
    <xf numFmtId="3" fontId="1" fillId="0" borderId="0" xfId="0" applyNumberFormat="1" applyFont="1"/>
    <xf numFmtId="49" fontId="8" fillId="0" borderId="1" xfId="0" applyNumberFormat="1" applyFont="1" applyFill="1" applyBorder="1"/>
    <xf numFmtId="0" fontId="16" fillId="0" borderId="0" xfId="0" applyFont="1" applyBorder="1"/>
    <xf numFmtId="10" fontId="7" fillId="0" borderId="1" xfId="0" applyNumberFormat="1" applyFont="1" applyBorder="1"/>
    <xf numFmtId="0" fontId="12" fillId="2" borderId="11" xfId="0" applyFont="1" applyFill="1" applyBorder="1" applyAlignment="1">
      <alignment horizontal="justify" vertical="center" wrapText="1"/>
    </xf>
    <xf numFmtId="10" fontId="1" fillId="7" borderId="1" xfId="7" applyNumberFormat="1" applyFont="1" applyFill="1" applyBorder="1"/>
    <xf numFmtId="43" fontId="0" fillId="0" borderId="0" xfId="8" applyFont="1"/>
    <xf numFmtId="9" fontId="0" fillId="0" borderId="0" xfId="0" applyNumberFormat="1"/>
    <xf numFmtId="43" fontId="0" fillId="0" borderId="0" xfId="0" applyNumberFormat="1"/>
    <xf numFmtId="164" fontId="0" fillId="0" borderId="0" xfId="0" applyNumberFormat="1"/>
    <xf numFmtId="10" fontId="0" fillId="0" borderId="0" xfId="0" applyNumberFormat="1"/>
    <xf numFmtId="10" fontId="0" fillId="0" borderId="0" xfId="7" applyNumberFormat="1" applyFont="1"/>
    <xf numFmtId="165" fontId="0" fillId="0" borderId="0" xfId="0" applyNumberFormat="1"/>
    <xf numFmtId="166" fontId="0" fillId="0" borderId="0" xfId="0" applyNumberFormat="1"/>
    <xf numFmtId="2" fontId="0" fillId="0" borderId="0" xfId="0" applyNumberFormat="1"/>
    <xf numFmtId="0" fontId="18" fillId="0" borderId="0" xfId="9"/>
    <xf numFmtId="0" fontId="0" fillId="2" borderId="0" xfId="0" applyFill="1"/>
    <xf numFmtId="10" fontId="0" fillId="0" borderId="1" xfId="7" applyNumberFormat="1" applyFont="1" applyBorder="1"/>
    <xf numFmtId="0" fontId="6" fillId="0" borderId="1" xfId="0" applyFont="1" applyFill="1" applyBorder="1"/>
    <xf numFmtId="0" fontId="0" fillId="7" borderId="1" xfId="0" applyFill="1" applyBorder="1"/>
    <xf numFmtId="43" fontId="0" fillId="0" borderId="1" xfId="8" applyFont="1" applyFill="1" applyBorder="1"/>
    <xf numFmtId="0" fontId="19" fillId="7" borderId="1" xfId="0" applyFont="1" applyFill="1" applyBorder="1" applyAlignment="1">
      <alignment horizontal="right"/>
    </xf>
    <xf numFmtId="3" fontId="20" fillId="5" borderId="1" xfId="0" applyNumberFormat="1" applyFont="1" applyFill="1" applyBorder="1"/>
    <xf numFmtId="3" fontId="21" fillId="0" borderId="1" xfId="0" applyNumberFormat="1" applyFont="1" applyBorder="1"/>
    <xf numFmtId="3" fontId="20" fillId="0" borderId="1" xfId="0" applyNumberFormat="1" applyFont="1" applyBorder="1" applyAlignment="1"/>
    <xf numFmtId="3" fontId="20" fillId="3" borderId="1" xfId="0" applyNumberFormat="1" applyFont="1" applyFill="1" applyBorder="1" applyAlignment="1"/>
    <xf numFmtId="3" fontId="21" fillId="0" borderId="1" xfId="0" applyNumberFormat="1" applyFont="1" applyBorder="1" applyAlignment="1"/>
    <xf numFmtId="3" fontId="20" fillId="8" borderId="1" xfId="0" applyNumberFormat="1" applyFont="1" applyFill="1" applyBorder="1"/>
    <xf numFmtId="10" fontId="20" fillId="0" borderId="0" xfId="0" applyNumberFormat="1" applyFont="1" applyFill="1" applyBorder="1"/>
    <xf numFmtId="3" fontId="20" fillId="10" borderId="0" xfId="0" applyNumberFormat="1" applyFont="1" applyFill="1" applyBorder="1"/>
    <xf numFmtId="10" fontId="0" fillId="2" borderId="0" xfId="7" applyNumberFormat="1" applyFont="1" applyFill="1" applyBorder="1"/>
    <xf numFmtId="10" fontId="2" fillId="2" borderId="1" xfId="7" applyNumberFormat="1" applyFont="1" applyFill="1" applyBorder="1"/>
    <xf numFmtId="10" fontId="1" fillId="0" borderId="1" xfId="0" applyNumberFormat="1" applyFont="1" applyBorder="1"/>
    <xf numFmtId="0" fontId="16" fillId="0" borderId="0" xfId="0" applyFont="1"/>
    <xf numFmtId="0" fontId="19" fillId="0" borderId="0" xfId="0" applyFont="1"/>
    <xf numFmtId="3" fontId="16" fillId="0" borderId="0" xfId="0" applyNumberFormat="1" applyFont="1" applyBorder="1"/>
    <xf numFmtId="0" fontId="16" fillId="2" borderId="0" xfId="0" applyFont="1" applyFill="1" applyBorder="1"/>
    <xf numFmtId="3" fontId="16" fillId="2" borderId="0" xfId="0" applyNumberFormat="1" applyFont="1" applyFill="1" applyBorder="1"/>
    <xf numFmtId="0" fontId="16" fillId="2" borderId="0" xfId="0" applyFont="1" applyFill="1" applyBorder="1" applyAlignment="1">
      <alignment horizontal="right"/>
    </xf>
    <xf numFmtId="43" fontId="0" fillId="0" borderId="0" xfId="8" applyFont="1" applyFill="1" applyBorder="1"/>
    <xf numFmtId="0" fontId="19" fillId="0" borderId="0" xfId="0" applyFont="1" applyFill="1" applyBorder="1"/>
    <xf numFmtId="43" fontId="16" fillId="0" borderId="0" xfId="8" applyFont="1"/>
    <xf numFmtId="0" fontId="1" fillId="4" borderId="5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 wrapText="1"/>
    </xf>
  </cellXfs>
  <cellStyles count="10">
    <cellStyle name="Comma" xfId="8" builtinId="3"/>
    <cellStyle name="Comma 21 2" xfId="6" xr:uid="{00000000-0005-0000-0000-000000000000}"/>
    <cellStyle name="Hyperlink" xfId="9" builtinId="8"/>
    <cellStyle name="Normal" xfId="0" builtinId="0"/>
    <cellStyle name="Normal 2" xfId="2" xr:uid="{00000000-0005-0000-0000-000002000000}"/>
    <cellStyle name="Normal 3" xfId="1" xr:uid="{00000000-0005-0000-0000-000003000000}"/>
    <cellStyle name="Normal 33 2 2" xfId="3" xr:uid="{00000000-0005-0000-0000-000004000000}"/>
    <cellStyle name="Normal 4" xfId="5" xr:uid="{00000000-0005-0000-0000-000005000000}"/>
    <cellStyle name="Percent" xfId="7" builtinId="5"/>
    <cellStyle name="Percent 3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2.w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2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9</xdr:col>
      <xdr:colOff>403861</xdr:colOff>
      <xdr:row>10</xdr:row>
      <xdr:rowOff>32881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8618220" cy="1861681"/>
        </a:xfrm>
        <a:prstGeom prst="rect">
          <a:avLst/>
        </a:prstGeom>
      </xdr:spPr>
    </xdr:pic>
    <xdr:clientData/>
  </xdr:twoCellAnchor>
  <xdr:twoCellAnchor editAs="oneCell">
    <xdr:from>
      <xdr:col>6</xdr:col>
      <xdr:colOff>426720</xdr:colOff>
      <xdr:row>10</xdr:row>
      <xdr:rowOff>106680</xdr:rowOff>
    </xdr:from>
    <xdr:to>
      <xdr:col>15</xdr:col>
      <xdr:colOff>292701</xdr:colOff>
      <xdr:row>15</xdr:row>
      <xdr:rowOff>58947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991100" y="1935480"/>
          <a:ext cx="5352381" cy="8666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9</xdr:col>
      <xdr:colOff>289560</xdr:colOff>
      <xdr:row>27</xdr:row>
      <xdr:rowOff>126101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291840"/>
          <a:ext cx="8503920" cy="1772021"/>
        </a:xfrm>
        <a:prstGeom prst="rect">
          <a:avLst/>
        </a:prstGeom>
      </xdr:spPr>
    </xdr:pic>
    <xdr:clientData/>
  </xdr:twoCellAnchor>
  <xdr:twoCellAnchor editAs="oneCell">
    <xdr:from>
      <xdr:col>6</xdr:col>
      <xdr:colOff>213360</xdr:colOff>
      <xdr:row>28</xdr:row>
      <xdr:rowOff>15240</xdr:rowOff>
    </xdr:from>
    <xdr:to>
      <xdr:col>10</xdr:col>
      <xdr:colOff>41627</xdr:colOff>
      <xdr:row>32</xdr:row>
      <xdr:rowOff>45625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029200" y="5135880"/>
          <a:ext cx="2266667" cy="761905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32</xdr:row>
      <xdr:rowOff>144780</xdr:rowOff>
    </xdr:from>
    <xdr:to>
      <xdr:col>14</xdr:col>
      <xdr:colOff>475581</xdr:colOff>
      <xdr:row>37</xdr:row>
      <xdr:rowOff>97047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15840" y="5996940"/>
          <a:ext cx="5352381" cy="866667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37</xdr:row>
      <xdr:rowOff>0</xdr:rowOff>
    </xdr:from>
    <xdr:to>
      <xdr:col>8</xdr:col>
      <xdr:colOff>502921</xdr:colOff>
      <xdr:row>47</xdr:row>
      <xdr:rowOff>176325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" y="6766560"/>
          <a:ext cx="8107680" cy="2005125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49</xdr:row>
      <xdr:rowOff>0</xdr:rowOff>
    </xdr:from>
    <xdr:to>
      <xdr:col>9</xdr:col>
      <xdr:colOff>437867</xdr:colOff>
      <xdr:row>53</xdr:row>
      <xdr:rowOff>30385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815840" y="8961120"/>
          <a:ext cx="2266667" cy="76190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10</xdr:col>
      <xdr:colOff>42707</xdr:colOff>
      <xdr:row>59</xdr:row>
      <xdr:rowOff>133219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9875520"/>
          <a:ext cx="8866667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129540</xdr:colOff>
      <xdr:row>59</xdr:row>
      <xdr:rowOff>129540</xdr:rowOff>
    </xdr:from>
    <xdr:to>
      <xdr:col>7</xdr:col>
      <xdr:colOff>439142</xdr:colOff>
      <xdr:row>62</xdr:row>
      <xdr:rowOff>28519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9540" y="10919460"/>
          <a:ext cx="7304762" cy="4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65</xdr:row>
      <xdr:rowOff>121920</xdr:rowOff>
    </xdr:from>
    <xdr:to>
      <xdr:col>2</xdr:col>
      <xdr:colOff>73906</xdr:colOff>
      <xdr:row>69</xdr:row>
      <xdr:rowOff>133257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12009120"/>
          <a:ext cx="3114286" cy="74285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73</xdr:row>
      <xdr:rowOff>0</xdr:rowOff>
    </xdr:from>
    <xdr:to>
      <xdr:col>8</xdr:col>
      <xdr:colOff>45720</xdr:colOff>
      <xdr:row>85</xdr:row>
      <xdr:rowOff>166299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13350240"/>
          <a:ext cx="7650480" cy="236085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98</xdr:row>
      <xdr:rowOff>0</xdr:rowOff>
    </xdr:from>
    <xdr:to>
      <xdr:col>10</xdr:col>
      <xdr:colOff>80802</xdr:colOff>
      <xdr:row>103</xdr:row>
      <xdr:rowOff>47505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17922240"/>
          <a:ext cx="8904762" cy="96190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105</xdr:row>
      <xdr:rowOff>53340</xdr:rowOff>
    </xdr:from>
    <xdr:to>
      <xdr:col>2</xdr:col>
      <xdr:colOff>102477</xdr:colOff>
      <xdr:row>108</xdr:row>
      <xdr:rowOff>123748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19255740"/>
          <a:ext cx="3142857" cy="6190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800100</xdr:colOff>
          <xdr:row>45</xdr:row>
          <xdr:rowOff>137160</xdr:rowOff>
        </xdr:from>
        <xdr:to>
          <xdr:col>14</xdr:col>
          <xdr:colOff>236220</xdr:colOff>
          <xdr:row>49</xdr:row>
          <xdr:rowOff>53340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117662</xdr:colOff>
      <xdr:row>39</xdr:row>
      <xdr:rowOff>90077</xdr:rowOff>
    </xdr:from>
    <xdr:to>
      <xdr:col>6</xdr:col>
      <xdr:colOff>645272</xdr:colOff>
      <xdr:row>41</xdr:row>
      <xdr:rowOff>77217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Rectangle 3">
              <a:extLst>
                <a:ext uri="{FF2B5EF4-FFF2-40B4-BE49-F238E27FC236}">
                  <a16:creationId xmlns:a16="http://schemas.microsoft.com/office/drawing/2014/main" id="{00000000-0008-0000-0100-000004000000}"/>
                </a:ext>
              </a:extLst>
            </xdr:cNvPr>
            <xdr:cNvSpPr/>
          </xdr:nvSpPr>
          <xdr:spPr>
            <a:xfrm>
              <a:off x="117662" y="7474550"/>
              <a:ext cx="8459337" cy="347358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GB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+mn-ea"/>
                  <a:cs typeface="+mn-cs"/>
                </a:defRPr>
              </a:lvl9pPr>
            </a:lstStyle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m:rPr>
                        <m:nor/>
                      </m:rPr>
                      <a:rPr lang="en-GB"/>
                      <m:t>FNNI</m:t>
                    </m:r>
                    <m:r>
                      <m:rPr>
                        <m:nor/>
                      </m:rPr>
                      <a:rPr lang="en-GB"/>
                      <m:t> </m:t>
                    </m:r>
                    <m:d>
                      <m:dPr>
                        <m:ctrlPr>
                          <a:rPr lang="ro-RO" b="0" i="1"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r>
                          <a:rPr lang="ro-RO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  <a:ea typeface="Arial Unicode MS" panose="020B0604020202020204" pitchFamily="34" charset="-128"/>
                            <a:cs typeface="Times New Roman" panose="02020603050405020304" pitchFamily="18" charset="0"/>
                          </a:rPr>
                          <m:t>𝐶𝐹𝐷</m:t>
                        </m:r>
                      </m:e>
                    </m:d>
                    <m:r>
                      <a:rPr lang="ro-RO" i="1">
                        <a:solidFill>
                          <a:srgbClr val="000000"/>
                        </a:solidFill>
                        <a:latin typeface="Cambria Math" panose="02040503050406030204" pitchFamily="18" charset="0"/>
                        <a:ea typeface="Arial Unicode MS" panose="020B0604020202020204" pitchFamily="34" charset="-128"/>
                        <a:cs typeface="Times New Roman" panose="02020603050405020304" pitchFamily="18" charset="0"/>
                      </a:rPr>
                      <m:t>=</m:t>
                    </m:r>
                    <m:r>
                      <a:rPr lang="en-US" i="1">
                        <a:latin typeface="Cambria Math" panose="02040503050406030204" pitchFamily="18" charset="0"/>
                      </a:rPr>
                      <m:t>𝑃</m:t>
                    </m:r>
                    <m:r>
                      <a:rPr lang="en-US" b="0" i="1">
                        <a:latin typeface="Cambria Math" panose="02040503050406030204" pitchFamily="18" charset="0"/>
                      </a:rPr>
                      <m:t>𝑁</m:t>
                    </m:r>
                    <m:r>
                      <a:rPr lang="en-US" b="0" i="1">
                        <a:latin typeface="Cambria Math" panose="02040503050406030204" pitchFamily="18" charset="0"/>
                      </a:rPr>
                      <m:t>+</m:t>
                    </m:r>
                    <m:r>
                      <a:rPr lang="en-US" b="0" i="1">
                        <a:latin typeface="Cambria Math" panose="02040503050406030204" pitchFamily="18" charset="0"/>
                      </a:rPr>
                      <m:t>𝐶h</m:t>
                    </m:r>
                    <m:r>
                      <a:rPr lang="en-US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n-US" b="0" i="1">
                        <a:latin typeface="Cambria Math" panose="02040503050406030204" pitchFamily="18" charset="0"/>
                      </a:rPr>
                      <m:t>𝑑𝑜𝑏</m:t>
                    </m:r>
                    <m:r>
                      <a:rPr lang="en-US" b="0" i="1">
                        <a:latin typeface="Cambria Math" panose="02040503050406030204" pitchFamily="18" charset="0"/>
                      </a:rPr>
                      <m:t> (1−16%)+</m:t>
                    </m:r>
                    <m:r>
                      <a:rPr lang="en-US" sz="1800" b="0" i="1">
                        <a:solidFill>
                          <a:srgbClr val="000000"/>
                        </a:solidFill>
                        <a:effectLst/>
                        <a:latin typeface="Cambria Math" panose="02040503050406030204" pitchFamily="18" charset="0"/>
                        <a:ea typeface="Arial Unicode MS" panose="020B0604020202020204" pitchFamily="34" charset="-128"/>
                        <a:cs typeface="Times New Roman" panose="02020603050405020304" pitchFamily="18" charset="0"/>
                      </a:rPr>
                      <m:t>𝐶h</m:t>
                    </m:r>
                    <m:r>
                      <a:rPr lang="en-US" sz="1800" b="0" i="1">
                        <a:solidFill>
                          <a:srgbClr val="000000"/>
                        </a:solidFill>
                        <a:effectLst/>
                        <a:latin typeface="Cambria Math" panose="02040503050406030204" pitchFamily="18" charset="0"/>
                        <a:ea typeface="Arial Unicode MS" panose="020B0604020202020204" pitchFamily="34" charset="-128"/>
                        <a:cs typeface="Times New Roman" panose="02020603050405020304" pitchFamily="18" charset="0"/>
                      </a:rPr>
                      <m:t> </m:t>
                    </m:r>
                    <m:r>
                      <a:rPr lang="ro-RO" sz="1800" b="0" i="1">
                        <a:solidFill>
                          <a:srgbClr val="000000"/>
                        </a:solidFill>
                        <a:effectLst/>
                        <a:latin typeface="Cambria Math" panose="02040503050406030204" pitchFamily="18" charset="0"/>
                        <a:ea typeface="Arial Unicode MS" panose="020B0604020202020204" pitchFamily="34" charset="-128"/>
                        <a:cs typeface="Times New Roman" panose="02020603050405020304" pitchFamily="18" charset="0"/>
                      </a:rPr>
                      <m:t>𝐴𝑚𝑜𝑟𝑡𝑖𝑧𝑎𝑟𝑒</m:t>
                    </m:r>
                    <m:r>
                      <a:rPr lang="ro-RO" sz="1800" b="0" i="1">
                        <a:solidFill>
                          <a:srgbClr val="000000"/>
                        </a:solidFill>
                        <a:effectLst/>
                        <a:latin typeface="Cambria Math" panose="02040503050406030204" pitchFamily="18" charset="0"/>
                        <a:ea typeface="Arial Unicode MS" panose="020B0604020202020204" pitchFamily="34" charset="-128"/>
                        <a:cs typeface="Times New Roman" panose="02020603050405020304" pitchFamily="18" charset="0"/>
                      </a:rPr>
                      <m:t> (±) ∆</m:t>
                    </m:r>
                    <m:r>
                      <a:rPr lang="ro-RO" sz="1800" i="1">
                        <a:solidFill>
                          <a:srgbClr val="000000"/>
                        </a:solidFill>
                        <a:effectLst/>
                        <a:latin typeface="Cambria Math" panose="02040503050406030204" pitchFamily="18" charset="0"/>
                        <a:ea typeface="Arial Unicode MS" panose="020B0604020202020204" pitchFamily="34" charset="-128"/>
                        <a:cs typeface="Times New Roman" panose="02020603050405020304" pitchFamily="18" charset="0"/>
                      </a:rPr>
                      <m:t>𝑁𝐹𝑅</m:t>
                    </m:r>
                    <m:r>
                      <a:rPr lang="ro-RO" sz="1800" i="1">
                        <a:solidFill>
                          <a:srgbClr val="000000"/>
                        </a:solidFill>
                        <a:effectLst/>
                        <a:latin typeface="Cambria Math" panose="02040503050406030204" pitchFamily="18" charset="0"/>
                        <a:ea typeface="Arial Unicode MS" panose="020B0604020202020204" pitchFamily="34" charset="-128"/>
                        <a:cs typeface="Times New Roman" panose="02020603050405020304" pitchFamily="18" charset="0"/>
                      </a:rPr>
                      <m:t> −</m:t>
                    </m:r>
                    <m:r>
                      <a:rPr lang="ro-RO" sz="1800" i="1">
                        <a:solidFill>
                          <a:srgbClr val="000000"/>
                        </a:solidFill>
                        <a:effectLst/>
                        <a:latin typeface="Cambria Math" panose="02040503050406030204" pitchFamily="18" charset="0"/>
                        <a:ea typeface="Arial Unicode MS" panose="020B0604020202020204" pitchFamily="34" charset="-128"/>
                        <a:cs typeface="Times New Roman" panose="02020603050405020304" pitchFamily="18" charset="0"/>
                      </a:rPr>
                      <m:t>𝐶𝐴𝑃𝐸𝑋</m:t>
                    </m:r>
                  </m:oMath>
                </m:oMathPara>
              </a14:m>
              <a:endParaRPr lang="en-GB" sz="1600">
                <a:solidFill>
                  <a:srgbClr val="000000"/>
                </a:solidFill>
                <a:effectLst/>
                <a:latin typeface="Helvetica" panose="020B0604020202020204" pitchFamily="34" charset="0"/>
                <a:ea typeface="Arial Unicode MS" panose="020B0604020202020204" pitchFamily="34" charset="-128"/>
                <a:cs typeface="Arial Unicode MS" panose="020B0604020202020204" pitchFamily="34" charset="-128"/>
              </a:endParaRPr>
            </a:p>
          </xdr:txBody>
        </xdr:sp>
      </mc:Choice>
      <mc:Fallback xmlns="">
        <xdr:sp macro="" textlink="">
          <xdr:nvSpPr>
            <xdr:cNvPr id="4" name="Rectangle 3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>
            <a:xfrm>
              <a:off x="117662" y="7474550"/>
              <a:ext cx="8459337" cy="347358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GB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+mn-ea"/>
                  <a:cs typeface="+mn-cs"/>
                </a:defRPr>
              </a:lvl9pPr>
            </a:lstStyle>
            <a:p>
              <a:pPr/>
              <a:r>
                <a:rPr lang="en-GB" i="0">
                  <a:latin typeface="Cambria Math" panose="02040503050406030204" pitchFamily="18" charset="0"/>
                </a:rPr>
                <a:t>"FNNI </a:t>
              </a:r>
              <a:r>
                <a:rPr lang="ro-RO" b="0" i="0">
                  <a:latin typeface="Cambria Math" panose="02040503050406030204" pitchFamily="18" charset="0"/>
                </a:rPr>
                <a:t>" (</a:t>
              </a:r>
              <a:r>
                <a:rPr lang="ro-RO" i="0">
                  <a:solidFill>
                    <a:srgbClr val="000000"/>
                  </a:solidFill>
                  <a:latin typeface="Cambria Math" panose="02040503050406030204" pitchFamily="18" charset="0"/>
                  <a:ea typeface="Arial Unicode MS" panose="020B0604020202020204" pitchFamily="34" charset="-128"/>
                  <a:cs typeface="Times New Roman" panose="02020603050405020304" pitchFamily="18" charset="0"/>
                </a:rPr>
                <a:t>𝐶𝐹𝐷)=</a:t>
              </a:r>
              <a:r>
                <a:rPr lang="en-US" i="0">
                  <a:latin typeface="Cambria Math" panose="02040503050406030204" pitchFamily="18" charset="0"/>
                </a:rPr>
                <a:t>𝑃</a:t>
              </a:r>
              <a:r>
                <a:rPr lang="en-US" b="0" i="0">
                  <a:latin typeface="Cambria Math" panose="02040503050406030204" pitchFamily="18" charset="0"/>
                </a:rPr>
                <a:t>𝑁+𝐶ℎ 𝑑𝑜𝑏 (1−16%)+</a:t>
              </a:r>
              <a:r>
                <a:rPr lang="en-US" sz="1800" b="0" i="0">
                  <a:solidFill>
                    <a:srgbClr val="000000"/>
                  </a:solidFill>
                  <a:effectLst/>
                  <a:latin typeface="Cambria Math" panose="02040503050406030204" pitchFamily="18" charset="0"/>
                  <a:ea typeface="Arial Unicode MS" panose="020B0604020202020204" pitchFamily="34" charset="-128"/>
                  <a:cs typeface="Times New Roman" panose="02020603050405020304" pitchFamily="18" charset="0"/>
                </a:rPr>
                <a:t>𝐶ℎ </a:t>
              </a:r>
              <a:r>
                <a:rPr lang="ro-RO" sz="1800" b="0" i="0">
                  <a:solidFill>
                    <a:srgbClr val="000000"/>
                  </a:solidFill>
                  <a:effectLst/>
                  <a:latin typeface="Cambria Math" panose="02040503050406030204" pitchFamily="18" charset="0"/>
                  <a:ea typeface="Arial Unicode MS" panose="020B0604020202020204" pitchFamily="34" charset="-128"/>
                  <a:cs typeface="Times New Roman" panose="02020603050405020304" pitchFamily="18" charset="0"/>
                </a:rPr>
                <a:t>𝐴𝑚𝑜𝑟𝑡𝑖𝑧𝑎𝑟𝑒 (±) ∆</a:t>
              </a:r>
              <a:r>
                <a:rPr lang="ro-RO" sz="1800" i="0">
                  <a:solidFill>
                    <a:srgbClr val="000000"/>
                  </a:solidFill>
                  <a:effectLst/>
                  <a:latin typeface="Cambria Math" panose="02040503050406030204" pitchFamily="18" charset="0"/>
                  <a:ea typeface="Arial Unicode MS" panose="020B0604020202020204" pitchFamily="34" charset="-128"/>
                  <a:cs typeface="Times New Roman" panose="02020603050405020304" pitchFamily="18" charset="0"/>
                </a:rPr>
                <a:t>𝑁𝐹𝑅 −𝐶𝐴𝑃𝐸𝑋</a:t>
              </a:r>
              <a:endParaRPr lang="en-GB" sz="1600">
                <a:solidFill>
                  <a:srgbClr val="000000"/>
                </a:solidFill>
                <a:effectLst/>
                <a:latin typeface="Helvetica" panose="020B0604020202020204" pitchFamily="34" charset="0"/>
                <a:ea typeface="Arial Unicode MS" panose="020B0604020202020204" pitchFamily="34" charset="-128"/>
                <a:cs typeface="Arial Unicode MS" panose="020B0604020202020204" pitchFamily="34" charset="-128"/>
              </a:endParaRPr>
            </a:p>
          </xdr:txBody>
        </xdr:sp>
      </mc:Fallback>
    </mc:AlternateContent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1310640</xdr:colOff>
          <xdr:row>36</xdr:row>
          <xdr:rowOff>121920</xdr:rowOff>
        </xdr:from>
        <xdr:to>
          <xdr:col>8</xdr:col>
          <xdr:colOff>1051560</xdr:colOff>
          <xdr:row>40</xdr:row>
          <xdr:rowOff>30480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2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vb.ro/FinancialInstruments/Details/FinancialInstrumentsDetails.aspx?s=R3606A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2.wmf"/><Relationship Id="rId4" Type="http://schemas.openxmlformats.org/officeDocument/2006/relationships/oleObject" Target="../embeddings/oleObject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.bin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4" Type="http://schemas.openxmlformats.org/officeDocument/2006/relationships/image" Target="../media/image12.w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47E76-2016-4AF2-8C7D-FA3196BF0454}">
  <dimension ref="A13:F119"/>
  <sheetViews>
    <sheetView tabSelected="1" topLeftCell="A94" workbookViewId="0">
      <selection activeCell="B111" sqref="B111"/>
    </sheetView>
  </sheetViews>
  <sheetFormatPr defaultRowHeight="14.4" x14ac:dyDescent="0.3"/>
  <cols>
    <col min="1" max="1" width="31.77734375" customWidth="1"/>
    <col min="2" max="4" width="12.5546875" bestFit="1" customWidth="1"/>
    <col min="5" max="5" width="11.109375" bestFit="1" customWidth="1"/>
    <col min="6" max="6" width="12.5546875" bestFit="1" customWidth="1"/>
  </cols>
  <sheetData>
    <row r="13" spans="1:6" x14ac:dyDescent="0.3">
      <c r="A13" t="s">
        <v>157</v>
      </c>
      <c r="B13">
        <v>1</v>
      </c>
      <c r="C13">
        <v>2</v>
      </c>
      <c r="D13">
        <v>3</v>
      </c>
      <c r="E13">
        <v>4</v>
      </c>
      <c r="F13">
        <v>5</v>
      </c>
    </row>
    <row r="14" spans="1:6" x14ac:dyDescent="0.3">
      <c r="A14" t="s">
        <v>64</v>
      </c>
      <c r="B14" s="106">
        <v>170000</v>
      </c>
      <c r="C14" s="106">
        <v>290000</v>
      </c>
      <c r="D14" s="106">
        <v>310000</v>
      </c>
      <c r="E14" s="106">
        <v>320000</v>
      </c>
      <c r="F14" s="106">
        <v>330000</v>
      </c>
    </row>
    <row r="15" spans="1:6" x14ac:dyDescent="0.3">
      <c r="A15" t="s">
        <v>158</v>
      </c>
      <c r="F15" s="106">
        <v>2000000</v>
      </c>
    </row>
    <row r="16" spans="1:6" x14ac:dyDescent="0.3">
      <c r="A16" t="s">
        <v>159</v>
      </c>
      <c r="B16" s="107">
        <v>0.15</v>
      </c>
    </row>
    <row r="17" spans="1:3" x14ac:dyDescent="0.3">
      <c r="A17" t="s">
        <v>160</v>
      </c>
      <c r="B17" s="108">
        <f>B14/(1+B16)^B13+C14/(1+B16)^C13+D14/(1+B16)^D13+E14/(1+B16)^E13+F14/(1+B16)^F13+F15/(1+B16)^F13</f>
        <v>1912320.6143612922</v>
      </c>
      <c r="C17" t="s">
        <v>164</v>
      </c>
    </row>
    <row r="29" spans="1:3" x14ac:dyDescent="0.3">
      <c r="A29" t="s">
        <v>162</v>
      </c>
    </row>
    <row r="30" spans="1:3" x14ac:dyDescent="0.3">
      <c r="A30" t="s">
        <v>161</v>
      </c>
      <c r="C30" s="106">
        <f>330000/15%</f>
        <v>2200000</v>
      </c>
    </row>
    <row r="31" spans="1:3" x14ac:dyDescent="0.3">
      <c r="A31" t="s">
        <v>163</v>
      </c>
      <c r="B31" s="109">
        <f>170000/1.15+290000/1.15^2+310000/1.15^3+320000/1.15^4+330000/1.15^5+C30/1.15^5</f>
        <v>2011755.9614209502</v>
      </c>
      <c r="C31" t="s">
        <v>164</v>
      </c>
    </row>
    <row r="50" spans="1:3" x14ac:dyDescent="0.3">
      <c r="A50" t="s">
        <v>165</v>
      </c>
    </row>
    <row r="51" spans="1:3" x14ac:dyDescent="0.3">
      <c r="A51" t="s">
        <v>166</v>
      </c>
      <c r="B51" s="106">
        <f>330000*(1+5.5%)/(15%-5.5%)</f>
        <v>3664736.8421052629</v>
      </c>
      <c r="C51" t="s">
        <v>164</v>
      </c>
    </row>
    <row r="52" spans="1:3" x14ac:dyDescent="0.3">
      <c r="A52" t="s">
        <v>163</v>
      </c>
      <c r="B52" s="108">
        <f>170000/1.15+290000/1.15^2+310000/1.15^3+320000/1.15^4+330000/1.15^5+B51/1.15^5</f>
        <v>2739989.0426499718</v>
      </c>
      <c r="C52" t="s">
        <v>164</v>
      </c>
    </row>
    <row r="65" spans="1:3" x14ac:dyDescent="0.3">
      <c r="A65" t="s">
        <v>167</v>
      </c>
      <c r="B65" s="112">
        <f>60%*15%+40%*C72</f>
        <v>0.1236</v>
      </c>
    </row>
    <row r="72" spans="1:3" x14ac:dyDescent="0.3">
      <c r="A72" t="s">
        <v>168</v>
      </c>
      <c r="C72" s="111">
        <f>10%*(1-16%)</f>
        <v>8.4000000000000005E-2</v>
      </c>
    </row>
    <row r="88" spans="1:4" x14ac:dyDescent="0.3">
      <c r="A88" t="s">
        <v>169</v>
      </c>
      <c r="D88" s="107">
        <v>0.05</v>
      </c>
    </row>
    <row r="89" spans="1:4" x14ac:dyDescent="0.3">
      <c r="A89" t="s">
        <v>170</v>
      </c>
      <c r="D89" s="107">
        <v>0.08</v>
      </c>
    </row>
    <row r="90" spans="1:4" x14ac:dyDescent="0.3">
      <c r="A90" t="s">
        <v>171</v>
      </c>
      <c r="D90" s="107">
        <v>0.06</v>
      </c>
    </row>
    <row r="91" spans="1:4" x14ac:dyDescent="0.3">
      <c r="A91" t="s">
        <v>172</v>
      </c>
      <c r="D91" s="114">
        <v>1.2</v>
      </c>
    </row>
    <row r="92" spans="1:4" x14ac:dyDescent="0.3">
      <c r="A92" t="s">
        <v>173</v>
      </c>
      <c r="D92" s="107">
        <v>0.09</v>
      </c>
    </row>
    <row r="94" spans="1:4" x14ac:dyDescent="0.3">
      <c r="A94" t="s">
        <v>174</v>
      </c>
      <c r="D94" s="113">
        <f>D88+D91*D90</f>
        <v>0.122</v>
      </c>
    </row>
    <row r="95" spans="1:4" x14ac:dyDescent="0.3">
      <c r="A95" t="s">
        <v>175</v>
      </c>
      <c r="D95" s="111">
        <f>8%*(1-16%)</f>
        <v>6.7199999999999996E-2</v>
      </c>
    </row>
    <row r="96" spans="1:4" x14ac:dyDescent="0.3">
      <c r="A96" t="s">
        <v>176</v>
      </c>
      <c r="D96" s="107">
        <v>0.09</v>
      </c>
    </row>
    <row r="97" spans="1:5" x14ac:dyDescent="0.3">
      <c r="A97" t="s">
        <v>177</v>
      </c>
      <c r="D97" s="113">
        <f>30%*D94+40%*D95+30%*D96</f>
        <v>9.0480000000000005E-2</v>
      </c>
    </row>
    <row r="105" spans="1:5" x14ac:dyDescent="0.3">
      <c r="A105" s="98" t="s">
        <v>178</v>
      </c>
      <c r="D105" t="s">
        <v>187</v>
      </c>
    </row>
    <row r="106" spans="1:5" x14ac:dyDescent="0.3">
      <c r="D106" s="110">
        <v>7.4899999999999994E-2</v>
      </c>
      <c r="E106" t="s">
        <v>184</v>
      </c>
    </row>
    <row r="107" spans="1:5" x14ac:dyDescent="0.3">
      <c r="D107" s="110">
        <v>7.51E-2</v>
      </c>
      <c r="E107" t="s">
        <v>185</v>
      </c>
    </row>
    <row r="108" spans="1:5" x14ac:dyDescent="0.3">
      <c r="D108" s="110">
        <v>7.6200000000000004E-2</v>
      </c>
      <c r="E108" s="115" t="s">
        <v>186</v>
      </c>
    </row>
    <row r="111" spans="1:5" x14ac:dyDescent="0.3">
      <c r="A111" t="s">
        <v>183</v>
      </c>
      <c r="B111" s="110">
        <f>AVERAGE(D106:D108)</f>
        <v>7.5400000000000009E-2</v>
      </c>
    </row>
    <row r="112" spans="1:5" x14ac:dyDescent="0.3">
      <c r="A112" t="s">
        <v>179</v>
      </c>
      <c r="B112">
        <v>0.44</v>
      </c>
      <c r="C112" t="s">
        <v>188</v>
      </c>
      <c r="D112" t="s">
        <v>192</v>
      </c>
    </row>
    <row r="113" spans="1:4" x14ac:dyDescent="0.3">
      <c r="A113" t="s">
        <v>180</v>
      </c>
      <c r="B113">
        <v>0.57999999999999996</v>
      </c>
      <c r="C113" t="s">
        <v>188</v>
      </c>
      <c r="D113" t="s">
        <v>192</v>
      </c>
    </row>
    <row r="114" spans="1:4" x14ac:dyDescent="0.3">
      <c r="A114" t="s">
        <v>181</v>
      </c>
      <c r="B114">
        <v>0.69</v>
      </c>
      <c r="C114" t="s">
        <v>188</v>
      </c>
      <c r="D114" t="s">
        <v>192</v>
      </c>
    </row>
    <row r="115" spans="1:4" x14ac:dyDescent="0.3">
      <c r="A115" t="s">
        <v>182</v>
      </c>
      <c r="B115" s="110">
        <v>6.9199999999999998E-2</v>
      </c>
      <c r="C115" t="s">
        <v>188</v>
      </c>
      <c r="D115" t="s">
        <v>192</v>
      </c>
    </row>
    <row r="117" spans="1:4" x14ac:dyDescent="0.3">
      <c r="A117" t="s">
        <v>189</v>
      </c>
      <c r="B117" s="110">
        <f>B111+B112*B115</f>
        <v>0.10584800000000001</v>
      </c>
    </row>
    <row r="118" spans="1:4" x14ac:dyDescent="0.3">
      <c r="A118" t="s">
        <v>190</v>
      </c>
      <c r="B118" s="110">
        <f>B111+B113*B115</f>
        <v>0.115536</v>
      </c>
    </row>
    <row r="119" spans="1:4" x14ac:dyDescent="0.3">
      <c r="A119" t="s">
        <v>191</v>
      </c>
      <c r="B119" s="110">
        <f>B111+B114*B115</f>
        <v>0.12314800000000001</v>
      </c>
    </row>
  </sheetData>
  <hyperlinks>
    <hyperlink ref="E108" r:id="rId1" xr:uid="{4FE4B9B5-0A8E-4F74-8957-22396A812FB8}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95"/>
  <sheetViews>
    <sheetView topLeftCell="C1" zoomScale="110" zoomScaleNormal="110" zoomScaleSheetLayoutView="136" workbookViewId="0">
      <pane ySplit="5" topLeftCell="A6" activePane="bottomLeft" state="frozen"/>
      <selection pane="bottomLeft" activeCell="J45" sqref="J45"/>
    </sheetView>
  </sheetViews>
  <sheetFormatPr defaultRowHeight="14.4" x14ac:dyDescent="0.3"/>
  <cols>
    <col min="1" max="1" width="39.5546875" customWidth="1"/>
    <col min="2" max="2" width="14" customWidth="1"/>
    <col min="3" max="3" width="14.6640625" customWidth="1"/>
    <col min="4" max="4" width="20.44140625" customWidth="1"/>
    <col min="5" max="5" width="14.88671875" customWidth="1"/>
    <col min="6" max="10" width="12.109375" customWidth="1"/>
    <col min="11" max="11" width="11.6640625" customWidth="1"/>
    <col min="12" max="12" width="39.109375" bestFit="1" customWidth="1"/>
    <col min="13" max="13" width="12.6640625" customWidth="1"/>
    <col min="14" max="17" width="11.6640625" customWidth="1"/>
  </cols>
  <sheetData>
    <row r="1" spans="1:18" ht="16.2" thickBot="1" x14ac:dyDescent="0.35">
      <c r="A1" s="1" t="s">
        <v>29</v>
      </c>
    </row>
    <row r="2" spans="1:18" x14ac:dyDescent="0.3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9"/>
    </row>
    <row r="3" spans="1:18" x14ac:dyDescent="0.3">
      <c r="A3" s="142" t="s">
        <v>8</v>
      </c>
      <c r="B3" s="143"/>
      <c r="C3" s="143"/>
      <c r="D3" s="143"/>
      <c r="E3" s="143"/>
      <c r="F3" s="143"/>
      <c r="G3" s="143"/>
      <c r="H3" s="143"/>
      <c r="I3" s="143"/>
      <c r="J3" s="49"/>
      <c r="K3" s="20"/>
      <c r="L3" s="20"/>
      <c r="M3" s="20" t="s">
        <v>64</v>
      </c>
      <c r="N3" s="20" t="s">
        <v>65</v>
      </c>
      <c r="O3" s="20"/>
      <c r="P3" s="20"/>
      <c r="Q3" s="20"/>
      <c r="R3" s="21"/>
    </row>
    <row r="4" spans="1:18" x14ac:dyDescent="0.3">
      <c r="A4" s="22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1"/>
    </row>
    <row r="5" spans="1:18" ht="30.75" customHeight="1" x14ac:dyDescent="0.3">
      <c r="A5" s="45"/>
      <c r="B5" s="38">
        <v>2022</v>
      </c>
      <c r="C5" s="38">
        <v>2023</v>
      </c>
      <c r="D5" s="38">
        <v>2024</v>
      </c>
      <c r="E5" s="38">
        <v>2025</v>
      </c>
      <c r="F5" s="121" t="s">
        <v>58</v>
      </c>
      <c r="G5" s="121" t="s">
        <v>59</v>
      </c>
      <c r="H5" s="121" t="s">
        <v>68</v>
      </c>
      <c r="I5" s="121" t="s">
        <v>137</v>
      </c>
      <c r="J5" s="121" t="s">
        <v>138</v>
      </c>
      <c r="K5" s="20"/>
      <c r="L5" s="144" t="s">
        <v>31</v>
      </c>
      <c r="M5" s="144"/>
      <c r="N5" s="20"/>
      <c r="O5" s="20"/>
      <c r="P5" s="20"/>
      <c r="Q5" s="20"/>
      <c r="R5" s="21"/>
    </row>
    <row r="6" spans="1:18" ht="15.6" x14ac:dyDescent="0.3">
      <c r="A6" s="23" t="s">
        <v>9</v>
      </c>
      <c r="B6" s="2">
        <f>B7+B8</f>
        <v>18042000</v>
      </c>
      <c r="C6" s="2">
        <f t="shared" ref="C6:D6" si="0">C7+C8</f>
        <v>20433000</v>
      </c>
      <c r="D6" s="2">
        <f t="shared" si="0"/>
        <v>23239000</v>
      </c>
      <c r="E6" s="2">
        <f>E7+E8</f>
        <v>26412000</v>
      </c>
      <c r="F6" s="122">
        <f t="shared" ref="F6:J6" si="1">F7+F8</f>
        <v>30003057.09800116</v>
      </c>
      <c r="G6" s="122">
        <f t="shared" si="1"/>
        <v>35590508.655148253</v>
      </c>
      <c r="H6" s="122">
        <f t="shared" si="1"/>
        <v>40448426.603286713</v>
      </c>
      <c r="I6" s="122">
        <f t="shared" si="1"/>
        <v>45981056.711969294</v>
      </c>
      <c r="J6" s="122">
        <f t="shared" si="1"/>
        <v>52284194.350894816</v>
      </c>
      <c r="K6" s="20"/>
      <c r="L6" s="65" t="s">
        <v>32</v>
      </c>
      <c r="M6" s="131">
        <f>M7+M9*M11</f>
        <v>0.14904437905759163</v>
      </c>
      <c r="N6" s="20"/>
      <c r="O6" s="20"/>
      <c r="P6" s="20"/>
      <c r="Q6" s="20"/>
      <c r="R6" s="21"/>
    </row>
    <row r="7" spans="1:18" x14ac:dyDescent="0.3">
      <c r="A7" s="26" t="s">
        <v>10</v>
      </c>
      <c r="B7" s="3">
        <v>16459000</v>
      </c>
      <c r="C7" s="3">
        <v>18568000</v>
      </c>
      <c r="D7" s="3">
        <v>21025000</v>
      </c>
      <c r="E7" s="3">
        <v>23758000</v>
      </c>
      <c r="F7" s="123">
        <f>E7+E7*F69</f>
        <v>26850096.733586587</v>
      </c>
      <c r="G7" s="123">
        <f>F7+F7*G69</f>
        <v>31687133.787052136</v>
      </c>
      <c r="H7" s="123">
        <f t="shared" ref="H7:J7" si="2">G7+G7*H69</f>
        <v>35811204.95801203</v>
      </c>
      <c r="I7" s="123">
        <f t="shared" si="2"/>
        <v>40472022.782596119</v>
      </c>
      <c r="J7" s="123">
        <f t="shared" si="2"/>
        <v>45739444.680386648</v>
      </c>
      <c r="K7" s="20"/>
      <c r="L7" s="62" t="s">
        <v>60</v>
      </c>
      <c r="M7" s="63">
        <f>Aplicatii!B111</f>
        <v>7.5400000000000009E-2</v>
      </c>
      <c r="N7" s="20" t="s">
        <v>205</v>
      </c>
      <c r="O7" s="20"/>
      <c r="P7" s="20"/>
      <c r="Q7" s="20"/>
      <c r="R7" s="21"/>
    </row>
    <row r="8" spans="1:18" x14ac:dyDescent="0.3">
      <c r="A8" s="26" t="s">
        <v>36</v>
      </c>
      <c r="B8" s="3">
        <v>1583000</v>
      </c>
      <c r="C8" s="3">
        <v>1865000</v>
      </c>
      <c r="D8" s="3">
        <v>2214000</v>
      </c>
      <c r="E8" s="3">
        <v>2654000</v>
      </c>
      <c r="F8" s="123">
        <f>E8+E8*F70</f>
        <v>3152960.3644145723</v>
      </c>
      <c r="G8" s="123">
        <f>F8+F8*G70</f>
        <v>3903374.8680961137</v>
      </c>
      <c r="H8" s="123">
        <f>G8+G8*H70</f>
        <v>4637221.645274682</v>
      </c>
      <c r="I8" s="123">
        <f t="shared" ref="I8:J8" si="3">H8+H8*I70</f>
        <v>5509033.929373174</v>
      </c>
      <c r="J8" s="123">
        <f t="shared" si="3"/>
        <v>6544749.6705081705</v>
      </c>
      <c r="K8" s="20"/>
      <c r="L8" s="62" t="s">
        <v>154</v>
      </c>
      <c r="M8" s="62">
        <v>0.79</v>
      </c>
      <c r="N8" s="20" t="s">
        <v>204</v>
      </c>
      <c r="O8" s="20"/>
      <c r="P8" s="20"/>
      <c r="Q8" s="20"/>
      <c r="R8" s="21"/>
    </row>
    <row r="9" spans="1:18" x14ac:dyDescent="0.3">
      <c r="A9" s="23" t="s">
        <v>37</v>
      </c>
      <c r="B9" s="2">
        <f>B10+B11</f>
        <v>8692000</v>
      </c>
      <c r="C9" s="2">
        <f t="shared" ref="C9:J9" si="4">C10+C11</f>
        <v>9821000</v>
      </c>
      <c r="D9" s="2">
        <f t="shared" si="4"/>
        <v>11181000</v>
      </c>
      <c r="E9" s="2">
        <f t="shared" si="4"/>
        <v>12664500</v>
      </c>
      <c r="F9" s="122">
        <f t="shared" si="4"/>
        <v>14350635.813165963</v>
      </c>
      <c r="G9" s="122">
        <f t="shared" si="4"/>
        <v>16986972.904783133</v>
      </c>
      <c r="H9" s="122">
        <f t="shared" si="4"/>
        <v>19261052.539508164</v>
      </c>
      <c r="I9" s="122">
        <f t="shared" si="4"/>
        <v>21842990.428480677</v>
      </c>
      <c r="J9" s="122">
        <f t="shared" si="4"/>
        <v>24775089.112525679</v>
      </c>
      <c r="K9" s="20"/>
      <c r="L9" s="77" t="s">
        <v>155</v>
      </c>
      <c r="M9" s="64">
        <f>M8*(1+(1-16%)*M10)</f>
        <v>1.0642251308900523</v>
      </c>
      <c r="N9" s="20"/>
      <c r="O9" s="20"/>
      <c r="P9" s="20"/>
      <c r="Q9" s="20"/>
      <c r="R9" s="21"/>
    </row>
    <row r="10" spans="1:18" x14ac:dyDescent="0.3">
      <c r="A10" s="26" t="s">
        <v>11</v>
      </c>
      <c r="B10" s="3">
        <v>8236000</v>
      </c>
      <c r="C10" s="3">
        <v>9269000</v>
      </c>
      <c r="D10" s="3">
        <v>10560000</v>
      </c>
      <c r="E10" s="3">
        <v>11986500</v>
      </c>
      <c r="F10" s="123">
        <f>F7*F81</f>
        <v>13467814.436539087</v>
      </c>
      <c r="G10" s="123">
        <f>G7*G81</f>
        <v>15894037.258196535</v>
      </c>
      <c r="H10" s="123">
        <f t="shared" ref="H10:J10" si="5">H7*H81</f>
        <v>17962641.546839226</v>
      </c>
      <c r="I10" s="123">
        <f t="shared" si="5"/>
        <v>20300474.077084545</v>
      </c>
      <c r="J10" s="123">
        <f t="shared" si="5"/>
        <v>22942574.825632919</v>
      </c>
      <c r="K10" s="20"/>
      <c r="L10" s="77" t="s">
        <v>156</v>
      </c>
      <c r="M10" s="64">
        <f>(B56+B59)/B55</f>
        <v>0.41323859386686612</v>
      </c>
      <c r="N10" s="20"/>
      <c r="O10" s="20"/>
      <c r="P10" s="20"/>
      <c r="Q10" s="20"/>
      <c r="R10" s="21"/>
    </row>
    <row r="11" spans="1:18" ht="15.6" x14ac:dyDescent="0.3">
      <c r="A11" s="26" t="s">
        <v>38</v>
      </c>
      <c r="B11" s="3">
        <v>456000</v>
      </c>
      <c r="C11" s="3">
        <v>552000</v>
      </c>
      <c r="D11" s="3">
        <v>621000</v>
      </c>
      <c r="E11" s="3">
        <v>678000</v>
      </c>
      <c r="F11" s="123">
        <f>F8*F82</f>
        <v>882821.37662687525</v>
      </c>
      <c r="G11" s="123">
        <f t="shared" ref="G11:J11" si="6">G8*G82</f>
        <v>1092935.6465865988</v>
      </c>
      <c r="H11" s="123">
        <f t="shared" si="6"/>
        <v>1298410.992668937</v>
      </c>
      <c r="I11" s="123">
        <f t="shared" si="6"/>
        <v>1542516.3513961334</v>
      </c>
      <c r="J11" s="123">
        <f t="shared" si="6"/>
        <v>1832514.2868927615</v>
      </c>
      <c r="K11" s="20"/>
      <c r="L11" s="62" t="s">
        <v>61</v>
      </c>
      <c r="M11" s="103">
        <f>Aplicatii!B115</f>
        <v>6.9199999999999998E-2</v>
      </c>
      <c r="N11" s="20"/>
      <c r="O11" s="20"/>
      <c r="P11" s="20"/>
      <c r="Q11" s="20"/>
      <c r="R11" s="21"/>
    </row>
    <row r="12" spans="1:18" x14ac:dyDescent="0.3">
      <c r="A12" s="23" t="s">
        <v>0</v>
      </c>
      <c r="B12" s="2">
        <f>B6-B9</f>
        <v>9350000</v>
      </c>
      <c r="C12" s="2">
        <f>C6-C9</f>
        <v>10612000</v>
      </c>
      <c r="D12" s="2">
        <f>D6-D9</f>
        <v>12058000</v>
      </c>
      <c r="E12" s="2">
        <f>E6-E9</f>
        <v>13747500</v>
      </c>
      <c r="F12" s="122">
        <f>F6-F9</f>
        <v>15652421.284835197</v>
      </c>
      <c r="G12" s="122">
        <f t="shared" ref="G12:J12" si="7">G6-G9</f>
        <v>18603535.750365119</v>
      </c>
      <c r="H12" s="122">
        <f t="shared" si="7"/>
        <v>21187374.063778549</v>
      </c>
      <c r="I12" s="122">
        <f t="shared" si="7"/>
        <v>24138066.283488616</v>
      </c>
      <c r="J12" s="122">
        <f t="shared" si="7"/>
        <v>27509105.238369137</v>
      </c>
      <c r="K12" s="20"/>
      <c r="L12" s="62"/>
      <c r="M12" s="62"/>
      <c r="N12" s="20"/>
      <c r="O12" s="20"/>
      <c r="P12" s="20"/>
      <c r="Q12" s="20"/>
      <c r="R12" s="21"/>
    </row>
    <row r="13" spans="1:18" x14ac:dyDescent="0.3">
      <c r="A13" s="24" t="s">
        <v>12</v>
      </c>
      <c r="B13" s="4">
        <v>850000</v>
      </c>
      <c r="C13" s="4">
        <v>869000</v>
      </c>
      <c r="D13" s="4">
        <v>845000</v>
      </c>
      <c r="E13" s="4">
        <v>852000</v>
      </c>
      <c r="F13" s="124">
        <f>AVERAGE(B13:E13)</f>
        <v>854000</v>
      </c>
      <c r="G13" s="124">
        <f>F13</f>
        <v>854000</v>
      </c>
      <c r="H13" s="124">
        <f t="shared" ref="H13:J13" si="8">G13</f>
        <v>854000</v>
      </c>
      <c r="I13" s="124">
        <f t="shared" si="8"/>
        <v>854000</v>
      </c>
      <c r="J13" s="124">
        <f t="shared" si="8"/>
        <v>854000</v>
      </c>
      <c r="K13" s="20"/>
      <c r="L13" s="62" t="s">
        <v>146</v>
      </c>
      <c r="M13" s="132">
        <f>J55</f>
        <v>0.7075946017464938</v>
      </c>
      <c r="N13" s="20"/>
      <c r="O13" s="20"/>
      <c r="P13" s="20"/>
      <c r="Q13" s="20"/>
      <c r="R13" s="21"/>
    </row>
    <row r="14" spans="1:18" x14ac:dyDescent="0.3">
      <c r="A14" s="24" t="s">
        <v>13</v>
      </c>
      <c r="B14" s="4">
        <v>192154</v>
      </c>
      <c r="C14" s="4">
        <v>210400</v>
      </c>
      <c r="D14" s="4">
        <v>220000</v>
      </c>
      <c r="E14" s="4">
        <v>225780</v>
      </c>
      <c r="F14" s="124">
        <f>E14+E14*F86</f>
        <v>238337.52173524411</v>
      </c>
      <c r="G14" s="124">
        <f t="shared" ref="G14:I14" si="9">F14+F14*G86</f>
        <v>251593.47270306473</v>
      </c>
      <c r="H14" s="124">
        <f t="shared" si="9"/>
        <v>265586.69841798313</v>
      </c>
      <c r="I14" s="124">
        <f t="shared" si="9"/>
        <v>280358.20491977932</v>
      </c>
      <c r="J14" s="124">
        <f>I14+I14*J86</f>
        <v>295951.27893844416</v>
      </c>
      <c r="K14" s="20"/>
      <c r="L14" s="62" t="s">
        <v>147</v>
      </c>
      <c r="M14" s="132">
        <f>J56</f>
        <v>0.2924053982535062</v>
      </c>
      <c r="N14" s="20"/>
      <c r="O14" s="20"/>
      <c r="P14" s="20"/>
      <c r="Q14" s="20"/>
      <c r="R14" s="21"/>
    </row>
    <row r="15" spans="1:18" x14ac:dyDescent="0.3">
      <c r="A15" s="25" t="s">
        <v>30</v>
      </c>
      <c r="B15" s="5">
        <f>B16+B17+B18</f>
        <v>3942441</v>
      </c>
      <c r="C15" s="5">
        <f t="shared" ref="C15:D15" si="10">C16+C17+C18</f>
        <v>4181460</v>
      </c>
      <c r="D15" s="5">
        <f t="shared" si="10"/>
        <v>4266280</v>
      </c>
      <c r="E15" s="5">
        <f>E16+E17+E18</f>
        <v>4312500</v>
      </c>
      <c r="F15" s="125">
        <f t="shared" ref="F15:J15" si="11">F16+F17+F18</f>
        <v>5379000</v>
      </c>
      <c r="G15" s="125">
        <f t="shared" si="11"/>
        <v>6384160</v>
      </c>
      <c r="H15" s="125">
        <f t="shared" si="11"/>
        <v>7429526.4000000004</v>
      </c>
      <c r="I15" s="125">
        <f t="shared" si="11"/>
        <v>8516707.4560000002</v>
      </c>
      <c r="J15" s="125">
        <f t="shared" si="11"/>
        <v>9647375.7542400006</v>
      </c>
      <c r="K15" s="20"/>
      <c r="L15" s="62"/>
      <c r="M15" s="63"/>
      <c r="N15" s="20"/>
      <c r="O15" s="20"/>
      <c r="P15" s="20"/>
      <c r="Q15" s="20"/>
      <c r="R15" s="21"/>
    </row>
    <row r="16" spans="1:18" ht="15.6" x14ac:dyDescent="0.3">
      <c r="A16" s="26" t="s">
        <v>14</v>
      </c>
      <c r="B16" s="6">
        <v>2542441</v>
      </c>
      <c r="C16" s="6">
        <v>2781460</v>
      </c>
      <c r="D16" s="3">
        <v>2866280</v>
      </c>
      <c r="E16" s="3">
        <v>2912500</v>
      </c>
      <c r="F16" s="123">
        <f>E16+E16*4%+850000</f>
        <v>3879000</v>
      </c>
      <c r="G16" s="123">
        <f>F16+F16*4%+850000</f>
        <v>4884160</v>
      </c>
      <c r="H16" s="123">
        <f t="shared" ref="H16:J16" si="12">G16+G16*4%+850000</f>
        <v>5929526.4000000004</v>
      </c>
      <c r="I16" s="123">
        <f t="shared" si="12"/>
        <v>7016707.4560000002</v>
      </c>
      <c r="J16" s="123">
        <f t="shared" si="12"/>
        <v>8147375.7542400006</v>
      </c>
      <c r="K16" s="20"/>
      <c r="L16" s="65" t="s">
        <v>33</v>
      </c>
      <c r="M16" s="66">
        <f>M17*(1-16%)</f>
        <v>6.5375565610859721E-2</v>
      </c>
      <c r="N16" s="20"/>
      <c r="O16" s="20"/>
      <c r="P16" s="20"/>
      <c r="Q16" s="20"/>
      <c r="R16" s="21"/>
    </row>
    <row r="17" spans="1:18" x14ac:dyDescent="0.3">
      <c r="A17" s="27" t="s">
        <v>15</v>
      </c>
      <c r="B17" s="6">
        <v>150000</v>
      </c>
      <c r="C17" s="6">
        <v>150000</v>
      </c>
      <c r="D17" s="6">
        <v>150000</v>
      </c>
      <c r="E17" s="6">
        <v>150000</v>
      </c>
      <c r="F17" s="126">
        <f>E17</f>
        <v>150000</v>
      </c>
      <c r="G17" s="126">
        <f t="shared" ref="G17:J17" si="13">F17</f>
        <v>150000</v>
      </c>
      <c r="H17" s="126">
        <f t="shared" si="13"/>
        <v>150000</v>
      </c>
      <c r="I17" s="126">
        <f t="shared" si="13"/>
        <v>150000</v>
      </c>
      <c r="J17" s="126">
        <f t="shared" si="13"/>
        <v>150000</v>
      </c>
      <c r="K17" s="20"/>
      <c r="L17" s="62" t="s">
        <v>34</v>
      </c>
      <c r="M17" s="63">
        <f>E22/(B56+B59)</f>
        <v>7.7828054298642535E-2</v>
      </c>
      <c r="N17" s="20"/>
      <c r="O17" s="20"/>
      <c r="P17" s="20"/>
      <c r="Q17" s="20"/>
      <c r="R17" s="21"/>
    </row>
    <row r="18" spans="1:18" x14ac:dyDescent="0.3">
      <c r="A18" s="27" t="s">
        <v>16</v>
      </c>
      <c r="B18" s="6">
        <v>1250000</v>
      </c>
      <c r="C18" s="6">
        <v>1250000</v>
      </c>
      <c r="D18" s="6">
        <v>1250000</v>
      </c>
      <c r="E18" s="6">
        <v>1250000</v>
      </c>
      <c r="F18" s="126">
        <f>E18+1000000/10</f>
        <v>1350000</v>
      </c>
      <c r="G18" s="126">
        <f>F18</f>
        <v>1350000</v>
      </c>
      <c r="H18" s="126">
        <f t="shared" ref="H18:J18" si="14">G18</f>
        <v>1350000</v>
      </c>
      <c r="I18" s="126">
        <f t="shared" si="14"/>
        <v>1350000</v>
      </c>
      <c r="J18" s="126">
        <f t="shared" si="14"/>
        <v>1350000</v>
      </c>
      <c r="K18" s="20"/>
      <c r="L18" s="62"/>
      <c r="M18" s="62"/>
      <c r="N18" s="20"/>
      <c r="O18" s="20"/>
      <c r="P18" s="20"/>
      <c r="Q18" s="20"/>
      <c r="R18" s="21"/>
    </row>
    <row r="19" spans="1:18" x14ac:dyDescent="0.3">
      <c r="A19" s="24" t="s">
        <v>17</v>
      </c>
      <c r="B19" s="4">
        <v>50000</v>
      </c>
      <c r="C19" s="4">
        <v>50000</v>
      </c>
      <c r="D19" s="4">
        <v>50000</v>
      </c>
      <c r="E19" s="4">
        <v>50000</v>
      </c>
      <c r="F19" s="124">
        <f>E19</f>
        <v>50000</v>
      </c>
      <c r="G19" s="124">
        <f t="shared" ref="G19:J19" si="15">F19</f>
        <v>50000</v>
      </c>
      <c r="H19" s="124">
        <f t="shared" si="15"/>
        <v>50000</v>
      </c>
      <c r="I19" s="124">
        <f t="shared" si="15"/>
        <v>50000</v>
      </c>
      <c r="J19" s="124">
        <f t="shared" si="15"/>
        <v>50000</v>
      </c>
      <c r="K19" s="20"/>
      <c r="L19" s="38" t="s">
        <v>56</v>
      </c>
      <c r="M19" s="105">
        <f>M6*M13+M16*M14</f>
        <v>0.12457916634030168</v>
      </c>
      <c r="N19" s="20"/>
      <c r="O19" s="20"/>
      <c r="P19" s="20"/>
      <c r="Q19" s="20"/>
      <c r="R19" s="21"/>
    </row>
    <row r="20" spans="1:18" x14ac:dyDescent="0.3">
      <c r="A20" s="23" t="s">
        <v>1</v>
      </c>
      <c r="B20" s="2">
        <f>B12+B13-B14-B15-B19</f>
        <v>6015405</v>
      </c>
      <c r="C20" s="2">
        <f t="shared" ref="C20:J20" si="16">C12+C13-C14-C15-C19</f>
        <v>7039140</v>
      </c>
      <c r="D20" s="2">
        <f t="shared" si="16"/>
        <v>8366720</v>
      </c>
      <c r="E20" s="2">
        <f t="shared" si="16"/>
        <v>10011220</v>
      </c>
      <c r="F20" s="122">
        <f t="shared" si="16"/>
        <v>10839083.763099954</v>
      </c>
      <c r="G20" s="122">
        <f t="shared" si="16"/>
        <v>12771782.277662054</v>
      </c>
      <c r="H20" s="122">
        <f t="shared" si="16"/>
        <v>14296260.965360565</v>
      </c>
      <c r="I20" s="122">
        <f t="shared" si="16"/>
        <v>16145000.622568838</v>
      </c>
      <c r="J20" s="122">
        <f t="shared" si="16"/>
        <v>18369778.205190696</v>
      </c>
      <c r="K20" s="20"/>
      <c r="N20" s="20"/>
      <c r="O20" s="20"/>
      <c r="P20" s="20"/>
      <c r="Q20" s="20"/>
      <c r="R20" s="21"/>
    </row>
    <row r="21" spans="1:18" x14ac:dyDescent="0.3">
      <c r="A21" s="26" t="s">
        <v>18</v>
      </c>
      <c r="B21" s="3">
        <v>50000</v>
      </c>
      <c r="C21" s="3">
        <v>52000</v>
      </c>
      <c r="D21" s="3">
        <v>55000</v>
      </c>
      <c r="E21" s="3">
        <v>57000</v>
      </c>
      <c r="F21" s="123">
        <f>E21+E21*F90</f>
        <v>59547.062937062939</v>
      </c>
      <c r="G21" s="123">
        <f>F21+F21*G90</f>
        <v>62207.942182991836</v>
      </c>
      <c r="H21" s="123">
        <f t="shared" ref="H21:J21" si="17">G21+G21*H90</f>
        <v>64987.723655364687</v>
      </c>
      <c r="I21" s="123">
        <f t="shared" si="17"/>
        <v>67891.720537586923</v>
      </c>
      <c r="J21" s="123">
        <f t="shared" si="17"/>
        <v>70925.483434336435</v>
      </c>
      <c r="K21" s="20"/>
      <c r="L21" s="20"/>
      <c r="M21" s="20"/>
      <c r="N21" s="20"/>
      <c r="O21" s="20"/>
      <c r="P21" s="20"/>
      <c r="Q21" s="20"/>
      <c r="R21" s="21"/>
    </row>
    <row r="22" spans="1:18" x14ac:dyDescent="0.3">
      <c r="A22" s="26" t="s">
        <v>19</v>
      </c>
      <c r="B22" s="3">
        <v>860000</v>
      </c>
      <c r="C22" s="3">
        <v>860000</v>
      </c>
      <c r="D22" s="3">
        <v>860000</v>
      </c>
      <c r="E22" s="3">
        <v>860000</v>
      </c>
      <c r="F22" s="123">
        <f>E22</f>
        <v>860000</v>
      </c>
      <c r="G22" s="123">
        <f t="shared" ref="G22:J22" si="18">F22</f>
        <v>860000</v>
      </c>
      <c r="H22" s="123">
        <f t="shared" si="18"/>
        <v>860000</v>
      </c>
      <c r="I22" s="123">
        <f t="shared" si="18"/>
        <v>860000</v>
      </c>
      <c r="J22" s="123">
        <f t="shared" si="18"/>
        <v>860000</v>
      </c>
      <c r="K22" s="20"/>
      <c r="L22" s="20"/>
      <c r="M22" s="20"/>
      <c r="N22" s="20"/>
      <c r="O22" s="20"/>
      <c r="P22" s="20"/>
      <c r="Q22" s="20"/>
      <c r="R22" s="21"/>
    </row>
    <row r="23" spans="1:18" x14ac:dyDescent="0.3">
      <c r="A23" s="28" t="s">
        <v>20</v>
      </c>
      <c r="B23" s="2">
        <f t="shared" ref="B23" si="19">B21-B22</f>
        <v>-810000</v>
      </c>
      <c r="C23" s="2">
        <f>C21-C22</f>
        <v>-808000</v>
      </c>
      <c r="D23" s="2">
        <f t="shared" ref="D23:J23" si="20">D21-D22</f>
        <v>-805000</v>
      </c>
      <c r="E23" s="2">
        <f t="shared" si="20"/>
        <v>-803000</v>
      </c>
      <c r="F23" s="122">
        <f t="shared" si="20"/>
        <v>-800452.93706293707</v>
      </c>
      <c r="G23" s="122">
        <f t="shared" si="20"/>
        <v>-797792.05781700811</v>
      </c>
      <c r="H23" s="122">
        <f t="shared" si="20"/>
        <v>-795012.27634463529</v>
      </c>
      <c r="I23" s="122">
        <f t="shared" si="20"/>
        <v>-792108.27946241305</v>
      </c>
      <c r="J23" s="122">
        <f t="shared" si="20"/>
        <v>-789074.51656566351</v>
      </c>
      <c r="K23" s="20"/>
      <c r="L23" s="20"/>
      <c r="M23" s="20"/>
      <c r="N23" s="20"/>
      <c r="O23" s="20"/>
      <c r="P23" s="20"/>
      <c r="Q23" s="20"/>
      <c r="R23" s="21"/>
    </row>
    <row r="24" spans="1:18" x14ac:dyDescent="0.3">
      <c r="A24" s="28" t="s">
        <v>21</v>
      </c>
      <c r="B24" s="2">
        <f>B20+B23</f>
        <v>5205405</v>
      </c>
      <c r="C24" s="2">
        <f>C20+C23</f>
        <v>6231140</v>
      </c>
      <c r="D24" s="2">
        <f t="shared" ref="D24:J24" si="21">D20+D23</f>
        <v>7561720</v>
      </c>
      <c r="E24" s="2">
        <f t="shared" si="21"/>
        <v>9208220</v>
      </c>
      <c r="F24" s="122">
        <f>F20+F23</f>
        <v>10038630.826037016</v>
      </c>
      <c r="G24" s="122">
        <f t="shared" si="21"/>
        <v>11973990.219845045</v>
      </c>
      <c r="H24" s="122">
        <f t="shared" si="21"/>
        <v>13501248.689015931</v>
      </c>
      <c r="I24" s="122">
        <f t="shared" si="21"/>
        <v>15352892.343106424</v>
      </c>
      <c r="J24" s="122">
        <f t="shared" si="21"/>
        <v>17580703.688625034</v>
      </c>
      <c r="K24" s="20"/>
      <c r="L24" s="20"/>
      <c r="M24" s="20"/>
      <c r="N24" s="20"/>
      <c r="O24" s="20"/>
      <c r="P24" s="20"/>
      <c r="Q24" s="20"/>
      <c r="R24" s="21"/>
    </row>
    <row r="25" spans="1:18" x14ac:dyDescent="0.3">
      <c r="A25" s="26" t="s">
        <v>22</v>
      </c>
      <c r="B25" s="3">
        <f>0.1678*B24</f>
        <v>873466.95900000003</v>
      </c>
      <c r="C25" s="3">
        <f>0.1698*C24</f>
        <v>1058047.5719999999</v>
      </c>
      <c r="D25" s="3">
        <f>0.1625*D24</f>
        <v>1228779.5</v>
      </c>
      <c r="E25" s="3">
        <f>0.1675*E24</f>
        <v>1542376.85</v>
      </c>
      <c r="F25" s="123">
        <f>F24*F95</f>
        <v>1675447.4848655779</v>
      </c>
      <c r="G25" s="123">
        <f t="shared" ref="G25:I25" si="22">G24*G95</f>
        <v>1998458.9676921379</v>
      </c>
      <c r="H25" s="123">
        <f t="shared" si="22"/>
        <v>2253358.4061967586</v>
      </c>
      <c r="I25" s="123">
        <f t="shared" si="22"/>
        <v>2562397.7320644623</v>
      </c>
      <c r="J25" s="123">
        <f>J24*J95</f>
        <v>2934219.445631518</v>
      </c>
      <c r="K25" s="20"/>
      <c r="L25" s="20"/>
      <c r="M25" s="20"/>
      <c r="N25" s="20"/>
      <c r="O25" s="20"/>
      <c r="P25" s="20"/>
      <c r="Q25" s="20"/>
      <c r="R25" s="21"/>
    </row>
    <row r="26" spans="1:18" x14ac:dyDescent="0.3">
      <c r="A26" s="47" t="s">
        <v>23</v>
      </c>
      <c r="B26" s="48">
        <f>B24-B25</f>
        <v>4331938.0410000002</v>
      </c>
      <c r="C26" s="48">
        <f>C24-C25</f>
        <v>5173092.4280000003</v>
      </c>
      <c r="D26" s="48">
        <f t="shared" ref="D26:J26" si="23">D24-D25</f>
        <v>6332940.5</v>
      </c>
      <c r="E26" s="48">
        <f t="shared" si="23"/>
        <v>7665843.1500000004</v>
      </c>
      <c r="F26" s="127">
        <f t="shared" si="23"/>
        <v>8363183.3411714379</v>
      </c>
      <c r="G26" s="127">
        <f t="shared" si="23"/>
        <v>9975531.2521529067</v>
      </c>
      <c r="H26" s="127">
        <f t="shared" si="23"/>
        <v>11247890.282819172</v>
      </c>
      <c r="I26" s="127">
        <f t="shared" si="23"/>
        <v>12790494.611041963</v>
      </c>
      <c r="J26" s="127">
        <f t="shared" si="23"/>
        <v>14646484.242993515</v>
      </c>
      <c r="K26" s="20"/>
      <c r="L26" s="143" t="s">
        <v>2</v>
      </c>
      <c r="M26" s="143"/>
      <c r="N26" s="143"/>
      <c r="O26" s="143"/>
      <c r="P26" s="143"/>
      <c r="Q26" s="143"/>
      <c r="R26" s="21"/>
    </row>
    <row r="27" spans="1:18" x14ac:dyDescent="0.3">
      <c r="A27" s="29" t="s">
        <v>108</v>
      </c>
      <c r="B27" s="78">
        <f>B26/B6</f>
        <v>0.24010298420352513</v>
      </c>
      <c r="C27" s="78">
        <f t="shared" ref="C27:J27" si="24">C26/C6</f>
        <v>0.25317341692360401</v>
      </c>
      <c r="D27" s="78">
        <f t="shared" si="24"/>
        <v>0.2725134687378975</v>
      </c>
      <c r="E27" s="78">
        <f t="shared" si="24"/>
        <v>0.2902409189004998</v>
      </c>
      <c r="F27" s="128">
        <f t="shared" si="24"/>
        <v>0.27874437307685568</v>
      </c>
      <c r="G27" s="128">
        <f t="shared" si="24"/>
        <v>0.28028627937886813</v>
      </c>
      <c r="H27" s="128">
        <f t="shared" si="24"/>
        <v>0.27807979759354112</v>
      </c>
      <c r="I27" s="128">
        <f t="shared" si="24"/>
        <v>0.27816878353107705</v>
      </c>
      <c r="J27" s="128">
        <f t="shared" si="24"/>
        <v>0.28013215895986832</v>
      </c>
      <c r="K27" s="20"/>
      <c r="L27" s="20"/>
      <c r="M27" s="46" t="s">
        <v>58</v>
      </c>
      <c r="N27" s="46" t="s">
        <v>59</v>
      </c>
      <c r="O27" s="46" t="s">
        <v>68</v>
      </c>
      <c r="P27" s="46" t="s">
        <v>137</v>
      </c>
      <c r="Q27" s="46" t="s">
        <v>138</v>
      </c>
      <c r="R27" s="21"/>
    </row>
    <row r="28" spans="1:18" x14ac:dyDescent="0.3">
      <c r="A28" s="60" t="s">
        <v>55</v>
      </c>
      <c r="B28" s="61"/>
      <c r="C28" s="61"/>
      <c r="D28" s="61"/>
      <c r="E28" s="61">
        <f>E50</f>
        <v>4560000</v>
      </c>
      <c r="F28" s="129">
        <f>E52*F6</f>
        <v>5179991.6843436798</v>
      </c>
      <c r="G28" s="129">
        <f>$E$52*G6</f>
        <v>6144658.4684036057</v>
      </c>
      <c r="H28" s="129">
        <f>$E$52*H6</f>
        <v>6983372.1532253297</v>
      </c>
      <c r="I28" s="129">
        <f t="shared" ref="I28:J28" si="25">$E$52*I6</f>
        <v>7938574.0802127812</v>
      </c>
      <c r="J28" s="129">
        <f t="shared" si="25"/>
        <v>9026803.2046070099</v>
      </c>
      <c r="K28" s="20"/>
      <c r="L28" s="16" t="s">
        <v>109</v>
      </c>
      <c r="M28" s="7">
        <f>F26</f>
        <v>8363183.3411714379</v>
      </c>
      <c r="N28" s="7">
        <f t="shared" ref="N28:Q28" si="26">G26</f>
        <v>9975531.2521529067</v>
      </c>
      <c r="O28" s="7">
        <f t="shared" si="26"/>
        <v>11247890.282819172</v>
      </c>
      <c r="P28" s="7">
        <f t="shared" si="26"/>
        <v>12790494.611041963</v>
      </c>
      <c r="Q28" s="7">
        <f t="shared" si="26"/>
        <v>14646484.242993515</v>
      </c>
      <c r="R28" s="21"/>
    </row>
    <row r="29" spans="1:18" x14ac:dyDescent="0.3">
      <c r="A29" s="30" t="s">
        <v>28</v>
      </c>
      <c r="B29" s="31"/>
      <c r="C29" s="31"/>
      <c r="D29" s="20"/>
      <c r="E29" s="20"/>
      <c r="F29" s="20"/>
      <c r="G29" s="20"/>
      <c r="H29" s="20"/>
      <c r="I29" s="20"/>
      <c r="J29" s="20"/>
      <c r="K29" s="20"/>
      <c r="L29" s="101" t="s">
        <v>148</v>
      </c>
      <c r="M29" s="7">
        <f>F22*(1-16%)</f>
        <v>722400</v>
      </c>
      <c r="N29" s="7">
        <f t="shared" ref="N29:Q29" si="27">G22*(1-16%)</f>
        <v>722400</v>
      </c>
      <c r="O29" s="7">
        <f t="shared" si="27"/>
        <v>722400</v>
      </c>
      <c r="P29" s="7">
        <f t="shared" si="27"/>
        <v>722400</v>
      </c>
      <c r="Q29" s="7">
        <f t="shared" si="27"/>
        <v>722400</v>
      </c>
      <c r="R29" s="21"/>
    </row>
    <row r="30" spans="1:18" ht="15.6" x14ac:dyDescent="0.3">
      <c r="A30" s="68" t="s">
        <v>54</v>
      </c>
      <c r="B30" s="20"/>
      <c r="C30" s="20"/>
      <c r="D30" s="20"/>
      <c r="E30" s="10"/>
      <c r="F30" s="20"/>
      <c r="G30" s="20"/>
      <c r="H30" s="20"/>
      <c r="I30" s="20"/>
      <c r="J30" s="20"/>
      <c r="K30" s="20"/>
      <c r="L30" s="14" t="s">
        <v>24</v>
      </c>
      <c r="M30" s="7">
        <f>F18</f>
        <v>1350000</v>
      </c>
      <c r="N30" s="7">
        <f t="shared" ref="N30:Q30" si="28">G18</f>
        <v>1350000</v>
      </c>
      <c r="O30" s="7">
        <f t="shared" si="28"/>
        <v>1350000</v>
      </c>
      <c r="P30" s="7">
        <f t="shared" si="28"/>
        <v>1350000</v>
      </c>
      <c r="Q30" s="7">
        <f t="shared" si="28"/>
        <v>1350000</v>
      </c>
      <c r="R30" s="21"/>
    </row>
    <row r="31" spans="1:18" s="8" customFormat="1" x14ac:dyDescent="0.3">
      <c r="A31" s="68" t="s">
        <v>27</v>
      </c>
      <c r="B31" s="20"/>
      <c r="C31" s="20"/>
      <c r="D31" s="20"/>
      <c r="E31" s="13"/>
      <c r="F31" s="20"/>
      <c r="G31" s="20"/>
      <c r="H31" s="20"/>
      <c r="I31" s="20"/>
      <c r="J31" s="20"/>
      <c r="K31" s="12"/>
      <c r="L31" s="14" t="s">
        <v>25</v>
      </c>
      <c r="M31" s="7">
        <f>F28-E28</f>
        <v>619991.68434367981</v>
      </c>
      <c r="N31" s="7">
        <f>G28-F28</f>
        <v>964666.78405992594</v>
      </c>
      <c r="O31" s="7">
        <f t="shared" ref="O31:Q31" si="29">H28-G28</f>
        <v>838713.68482172396</v>
      </c>
      <c r="P31" s="7">
        <f t="shared" si="29"/>
        <v>955201.9269874515</v>
      </c>
      <c r="Q31" s="7">
        <f t="shared" si="29"/>
        <v>1088229.1243942287</v>
      </c>
      <c r="R31" s="21"/>
    </row>
    <row r="32" spans="1:18" x14ac:dyDescent="0.3">
      <c r="A32" s="68" t="s">
        <v>193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14" t="s">
        <v>26</v>
      </c>
      <c r="M32" s="7">
        <v>1000000</v>
      </c>
      <c r="N32" s="7"/>
      <c r="O32" s="7"/>
      <c r="P32" s="7"/>
      <c r="Q32" s="7"/>
      <c r="R32" s="32"/>
    </row>
    <row r="33" spans="1:18" x14ac:dyDescent="0.3">
      <c r="A33" s="68" t="s">
        <v>141</v>
      </c>
      <c r="B33" s="20"/>
      <c r="C33" s="20"/>
      <c r="D33" s="20"/>
      <c r="E33" s="20"/>
      <c r="F33" s="12"/>
      <c r="G33" s="12"/>
      <c r="H33" s="12"/>
      <c r="I33" s="12"/>
      <c r="J33" s="12"/>
      <c r="K33" s="20"/>
      <c r="L33" s="59" t="s">
        <v>2</v>
      </c>
      <c r="M33" s="9">
        <f>M28+M29+M30-M31-M32</f>
        <v>8815591.656827759</v>
      </c>
      <c r="N33" s="9">
        <f t="shared" ref="N33:Q33" si="30">N28+N29+N30-N31-N32</f>
        <v>11083264.468092982</v>
      </c>
      <c r="O33" s="9">
        <f t="shared" si="30"/>
        <v>12481576.597997449</v>
      </c>
      <c r="P33" s="9">
        <f t="shared" si="30"/>
        <v>13907692.684054513</v>
      </c>
      <c r="Q33" s="9">
        <f t="shared" si="30"/>
        <v>15630655.118599286</v>
      </c>
      <c r="R33" s="21"/>
    </row>
    <row r="34" spans="1:18" s="8" customFormat="1" ht="15" thickBot="1" x14ac:dyDescent="0.35">
      <c r="A34" s="68" t="s">
        <v>198</v>
      </c>
      <c r="B34" s="20"/>
      <c r="C34" s="20"/>
      <c r="D34" s="20"/>
      <c r="E34" s="20"/>
      <c r="F34" s="11"/>
      <c r="G34" s="11"/>
      <c r="H34" s="20"/>
      <c r="I34" s="20"/>
      <c r="J34" s="20"/>
      <c r="K34" s="12"/>
      <c r="L34" s="104" t="s">
        <v>3</v>
      </c>
      <c r="M34" s="9">
        <f>M33/(1+M35)^1</f>
        <v>7839013.8468563175</v>
      </c>
      <c r="N34" s="9">
        <f>N33/(1+M35)^2</f>
        <v>8763702.5606560055</v>
      </c>
      <c r="O34" s="9">
        <f>O33/(1+M35)^3</f>
        <v>8776055.1839275975</v>
      </c>
      <c r="P34" s="9">
        <f>P33/(1+M35)^4</f>
        <v>8695507.8420964219</v>
      </c>
      <c r="Q34" s="9">
        <f>Q33/(1+M35)^5</f>
        <v>8690144.7932113931</v>
      </c>
      <c r="R34" s="21"/>
    </row>
    <row r="35" spans="1:18" s="8" customFormat="1" ht="15" thickBot="1" x14ac:dyDescent="0.35">
      <c r="A35" s="68" t="s">
        <v>63</v>
      </c>
      <c r="B35" s="20"/>
      <c r="C35" s="20"/>
      <c r="D35" s="20"/>
      <c r="E35" s="20"/>
      <c r="F35" s="12"/>
      <c r="G35" s="12"/>
      <c r="H35" s="20"/>
      <c r="I35" s="20"/>
      <c r="J35" s="20"/>
      <c r="K35" s="12"/>
      <c r="L35" s="41" t="s">
        <v>35</v>
      </c>
      <c r="M35" s="43">
        <f>M19</f>
        <v>0.12457916634030168</v>
      </c>
      <c r="N35" s="20"/>
      <c r="O35" s="20"/>
      <c r="P35" s="20"/>
      <c r="Q35" s="12"/>
      <c r="R35" s="32"/>
    </row>
    <row r="36" spans="1:18" s="8" customFormat="1" x14ac:dyDescent="0.3">
      <c r="A36" s="68" t="s">
        <v>39</v>
      </c>
      <c r="B36" s="33"/>
      <c r="C36" s="20"/>
      <c r="D36" s="20"/>
      <c r="E36" s="20"/>
      <c r="F36" s="11"/>
      <c r="G36" s="12"/>
      <c r="H36" s="11"/>
      <c r="I36" s="12"/>
      <c r="J36" s="12"/>
      <c r="K36" s="12"/>
      <c r="L36" s="67" t="s">
        <v>4</v>
      </c>
      <c r="M36" s="39">
        <f>SUM(M34:Q34)</f>
        <v>42764424.226747729</v>
      </c>
      <c r="N36" s="20"/>
      <c r="O36" s="20"/>
      <c r="P36" s="20"/>
      <c r="Q36" s="12"/>
      <c r="R36" s="32"/>
    </row>
    <row r="37" spans="1:18" s="8" customFormat="1" x14ac:dyDescent="0.3">
      <c r="A37" s="68" t="s">
        <v>145</v>
      </c>
      <c r="B37" s="20"/>
      <c r="C37" s="20"/>
      <c r="D37" s="20"/>
      <c r="E37" s="20"/>
      <c r="F37" s="11"/>
      <c r="G37" s="12"/>
      <c r="H37" s="11"/>
      <c r="I37" s="12"/>
      <c r="J37" s="12"/>
      <c r="K37" s="12"/>
      <c r="L37" s="15" t="s">
        <v>5</v>
      </c>
      <c r="M37" s="9">
        <f>Q33*(1+E38)/(M35-E38)</f>
        <v>191584738.60708469</v>
      </c>
      <c r="N37" s="102" t="s">
        <v>66</v>
      </c>
      <c r="O37" s="20"/>
      <c r="P37" s="20"/>
      <c r="Q37" s="12"/>
      <c r="R37" s="32"/>
    </row>
    <row r="38" spans="1:18" ht="15" thickBot="1" x14ac:dyDescent="0.35">
      <c r="A38" s="22"/>
      <c r="B38" s="20"/>
      <c r="C38" s="20"/>
      <c r="D38" s="36" t="s">
        <v>206</v>
      </c>
      <c r="E38" s="130">
        <f>(3.7%+4.2%+4.1%+3.9%)/4</f>
        <v>3.9750000000000001E-2</v>
      </c>
      <c r="F38" s="11"/>
      <c r="G38" s="78"/>
      <c r="H38" s="11"/>
      <c r="I38" s="12"/>
      <c r="J38" s="12"/>
      <c r="K38" s="20"/>
      <c r="L38" s="40" t="s">
        <v>6</v>
      </c>
      <c r="M38" s="42">
        <f>M37/(1+M35)^5</f>
        <v>106514992.87985824</v>
      </c>
      <c r="N38" s="20"/>
      <c r="O38" s="20"/>
      <c r="P38" s="20"/>
      <c r="Q38" s="12"/>
      <c r="R38" s="32"/>
    </row>
    <row r="39" spans="1:18" x14ac:dyDescent="0.3">
      <c r="A39" s="44"/>
      <c r="B39" s="20"/>
      <c r="C39" s="20"/>
      <c r="D39" s="20"/>
      <c r="E39" s="20"/>
      <c r="F39" s="11"/>
      <c r="G39" s="12"/>
      <c r="H39" s="11"/>
      <c r="I39" s="12"/>
      <c r="J39" s="12"/>
      <c r="K39" s="20"/>
      <c r="L39" s="80" t="s">
        <v>7</v>
      </c>
      <c r="M39" s="81">
        <f>ROUNDDOWN(M36+M38,-6)</f>
        <v>149000000</v>
      </c>
      <c r="N39" s="20"/>
      <c r="P39" s="20"/>
      <c r="Q39" s="20"/>
      <c r="R39" s="21"/>
    </row>
    <row r="40" spans="1:18" x14ac:dyDescent="0.3">
      <c r="A40" s="22"/>
      <c r="B40" s="20"/>
      <c r="C40" s="20"/>
      <c r="D40" s="20"/>
      <c r="E40" s="20"/>
      <c r="F40" s="12"/>
      <c r="G40" s="12"/>
      <c r="H40" s="12"/>
      <c r="I40" s="20"/>
      <c r="J40" s="20"/>
      <c r="K40" s="20"/>
      <c r="L40" s="82" t="s">
        <v>57</v>
      </c>
      <c r="M40" s="83">
        <f>ROUNDUP(M39-B56-B59+B51,-6)</f>
        <v>139000000</v>
      </c>
      <c r="N40" s="20"/>
      <c r="O40" s="20"/>
      <c r="P40" s="20"/>
      <c r="Q40" s="20"/>
      <c r="R40" s="21"/>
    </row>
    <row r="41" spans="1:18" x14ac:dyDescent="0.3">
      <c r="A41" s="22"/>
      <c r="B41" s="20"/>
      <c r="C41" s="20"/>
      <c r="D41" s="20"/>
      <c r="E41" s="20"/>
      <c r="F41" s="20"/>
      <c r="G41" s="20"/>
      <c r="H41" s="12"/>
      <c r="I41" s="20"/>
      <c r="J41" s="20"/>
      <c r="K41" s="20"/>
      <c r="L41" s="15" t="s">
        <v>67</v>
      </c>
      <c r="M41" s="62"/>
      <c r="N41" s="20"/>
      <c r="O41" s="20"/>
      <c r="P41" s="20"/>
      <c r="Q41" s="20"/>
      <c r="R41" s="21"/>
    </row>
    <row r="42" spans="1:18" ht="15" thickBot="1" x14ac:dyDescent="0.35">
      <c r="A42" s="37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84" t="s">
        <v>62</v>
      </c>
      <c r="M42" s="85">
        <f>M40/1000000</f>
        <v>139</v>
      </c>
      <c r="N42" s="20"/>
      <c r="O42" s="20"/>
      <c r="P42" s="20"/>
      <c r="Q42" s="20"/>
      <c r="R42" s="21"/>
    </row>
    <row r="43" spans="1:18" ht="15" thickBot="1" x14ac:dyDescent="0.35">
      <c r="L43" s="34"/>
      <c r="M43" s="34"/>
      <c r="N43" s="34"/>
      <c r="O43" s="34"/>
      <c r="P43" s="34"/>
      <c r="Q43" s="34"/>
      <c r="R43" s="35"/>
    </row>
    <row r="45" spans="1:18" x14ac:dyDescent="0.3">
      <c r="A45" s="116" t="s">
        <v>153</v>
      </c>
      <c r="L45" t="s">
        <v>69</v>
      </c>
    </row>
    <row r="46" spans="1:18" x14ac:dyDescent="0.3">
      <c r="A46" s="50" t="s">
        <v>40</v>
      </c>
      <c r="B46" s="51">
        <v>46022</v>
      </c>
    </row>
    <row r="47" spans="1:18" x14ac:dyDescent="0.3">
      <c r="A47" s="52" t="s">
        <v>41</v>
      </c>
      <c r="B47" s="53">
        <v>32560000</v>
      </c>
    </row>
    <row r="48" spans="1:18" x14ac:dyDescent="0.3">
      <c r="A48" s="52" t="s">
        <v>42</v>
      </c>
      <c r="B48" s="53">
        <f>SUM(B49:B51)</f>
        <v>10820000</v>
      </c>
    </row>
    <row r="49" spans="1:10" x14ac:dyDescent="0.3">
      <c r="A49" s="54" t="s">
        <v>43</v>
      </c>
      <c r="B49" s="55">
        <v>4890000</v>
      </c>
      <c r="D49" s="73" t="s">
        <v>111</v>
      </c>
      <c r="E49" s="100"/>
      <c r="F49" s="73"/>
    </row>
    <row r="50" spans="1:10" x14ac:dyDescent="0.3">
      <c r="A50" s="54" t="s">
        <v>44</v>
      </c>
      <c r="B50" s="55">
        <v>5260000</v>
      </c>
      <c r="D50" s="98" t="s">
        <v>142</v>
      </c>
      <c r="E50" s="97">
        <f>B49+B50-B58</f>
        <v>4560000</v>
      </c>
    </row>
    <row r="51" spans="1:10" x14ac:dyDescent="0.3">
      <c r="A51" s="54" t="s">
        <v>45</v>
      </c>
      <c r="B51" s="55">
        <v>670000</v>
      </c>
    </row>
    <row r="52" spans="1:10" x14ac:dyDescent="0.3">
      <c r="A52" s="56" t="s">
        <v>46</v>
      </c>
      <c r="B52" s="57">
        <f>B47+B48</f>
        <v>43380000</v>
      </c>
      <c r="D52" s="98" t="s">
        <v>112</v>
      </c>
      <c r="E52" s="96">
        <f>E50/E6</f>
        <v>0.17264879600181735</v>
      </c>
    </row>
    <row r="54" spans="1:10" x14ac:dyDescent="0.3">
      <c r="A54" s="50" t="s">
        <v>47</v>
      </c>
      <c r="B54" s="51">
        <v>46022</v>
      </c>
    </row>
    <row r="55" spans="1:10" x14ac:dyDescent="0.3">
      <c r="A55" s="52" t="s">
        <v>48</v>
      </c>
      <c r="B55" s="53">
        <v>26740000</v>
      </c>
      <c r="D55" s="99" t="s">
        <v>143</v>
      </c>
      <c r="E55" s="79"/>
      <c r="F55" s="73"/>
      <c r="G55" s="73"/>
      <c r="H55" s="73"/>
      <c r="I55" s="73"/>
      <c r="J55" s="96">
        <f>B55/(B55+B56+B59)</f>
        <v>0.7075946017464938</v>
      </c>
    </row>
    <row r="56" spans="1:10" x14ac:dyDescent="0.3">
      <c r="A56" s="52" t="s">
        <v>49</v>
      </c>
      <c r="B56" s="53">
        <v>10620000</v>
      </c>
      <c r="D56" s="99" t="s">
        <v>144</v>
      </c>
      <c r="E56" s="79"/>
      <c r="F56" s="73"/>
      <c r="G56" s="73"/>
      <c r="H56" s="73"/>
      <c r="I56" s="73"/>
      <c r="J56" s="96">
        <f>(B56+B59)/(B55+B56+B59)</f>
        <v>0.2924053982535062</v>
      </c>
    </row>
    <row r="57" spans="1:10" x14ac:dyDescent="0.3">
      <c r="A57" s="52" t="s">
        <v>50</v>
      </c>
      <c r="B57" s="53">
        <f>B58+B59</f>
        <v>6020000</v>
      </c>
      <c r="J57" s="110">
        <f>J55+J56</f>
        <v>1</v>
      </c>
    </row>
    <row r="58" spans="1:10" x14ac:dyDescent="0.3">
      <c r="A58" s="54" t="s">
        <v>51</v>
      </c>
      <c r="B58" s="55">
        <v>5590000</v>
      </c>
    </row>
    <row r="59" spans="1:10" x14ac:dyDescent="0.3">
      <c r="A59" s="54" t="s">
        <v>52</v>
      </c>
      <c r="B59" s="55">
        <v>430000</v>
      </c>
    </row>
    <row r="60" spans="1:10" x14ac:dyDescent="0.3">
      <c r="A60" s="58" t="s">
        <v>53</v>
      </c>
      <c r="B60" s="57">
        <f>B55+B56+B57</f>
        <v>43380000</v>
      </c>
    </row>
    <row r="64" spans="1:10" x14ac:dyDescent="0.3">
      <c r="A64" s="98" t="s">
        <v>194</v>
      </c>
    </row>
    <row r="65" spans="1:10" x14ac:dyDescent="0.3">
      <c r="A65" s="45"/>
      <c r="B65" s="38">
        <v>2022</v>
      </c>
      <c r="C65" s="38">
        <v>2023</v>
      </c>
      <c r="D65" s="38">
        <v>2024</v>
      </c>
      <c r="E65" s="38">
        <v>2025</v>
      </c>
      <c r="F65" s="46" t="s">
        <v>58</v>
      </c>
      <c r="G65" s="46" t="s">
        <v>59</v>
      </c>
      <c r="H65" s="46" t="s">
        <v>68</v>
      </c>
      <c r="I65" s="46" t="s">
        <v>137</v>
      </c>
      <c r="J65" s="46" t="s">
        <v>138</v>
      </c>
    </row>
    <row r="66" spans="1:10" x14ac:dyDescent="0.3">
      <c r="A66" s="23" t="s">
        <v>9</v>
      </c>
      <c r="B66" s="2">
        <f>B67+B68</f>
        <v>18042000</v>
      </c>
      <c r="C66" s="2">
        <f t="shared" ref="C66:E66" si="31">C67+C68</f>
        <v>20433000</v>
      </c>
      <c r="D66" s="2">
        <f t="shared" si="31"/>
        <v>23239000</v>
      </c>
      <c r="E66" s="2">
        <f t="shared" si="31"/>
        <v>26412000</v>
      </c>
      <c r="F66" s="2"/>
      <c r="G66" s="2"/>
      <c r="H66" s="2"/>
      <c r="I66" s="2"/>
      <c r="J66" s="2"/>
    </row>
    <row r="67" spans="1:10" x14ac:dyDescent="0.3">
      <c r="A67" s="26" t="s">
        <v>10</v>
      </c>
      <c r="B67" s="3">
        <v>16459000</v>
      </c>
      <c r="C67" s="3">
        <v>18568000</v>
      </c>
      <c r="D67" s="3">
        <v>21025000</v>
      </c>
      <c r="E67" s="3">
        <v>23758000</v>
      </c>
      <c r="F67" s="3"/>
      <c r="G67" s="3"/>
      <c r="H67" s="3"/>
      <c r="I67" s="3"/>
      <c r="J67" s="3"/>
    </row>
    <row r="68" spans="1:10" x14ac:dyDescent="0.3">
      <c r="A68" s="26" t="s">
        <v>36</v>
      </c>
      <c r="B68" s="3">
        <v>1583000</v>
      </c>
      <c r="C68" s="3">
        <v>1865000</v>
      </c>
      <c r="D68" s="3">
        <v>2214000</v>
      </c>
      <c r="E68" s="3">
        <v>2654000</v>
      </c>
      <c r="F68" s="3"/>
      <c r="G68" s="3"/>
      <c r="H68" s="3"/>
      <c r="I68" s="3"/>
      <c r="J68" s="3"/>
    </row>
    <row r="69" spans="1:10" x14ac:dyDescent="0.3">
      <c r="A69" s="62" t="s">
        <v>195</v>
      </c>
      <c r="B69" s="62"/>
      <c r="C69" s="117">
        <f t="shared" ref="C69:E70" si="32">(C67-B67)/B67</f>
        <v>0.12813658180934442</v>
      </c>
      <c r="D69" s="117">
        <f t="shared" si="32"/>
        <v>0.13232442912537698</v>
      </c>
      <c r="E69" s="117">
        <f t="shared" si="32"/>
        <v>0.12998810939357908</v>
      </c>
      <c r="F69" s="117">
        <f>AVERAGE(C69:E69)</f>
        <v>0.13014970677610016</v>
      </c>
      <c r="G69" s="117">
        <f>F69+5%</f>
        <v>0.18014970677610015</v>
      </c>
      <c r="H69" s="117">
        <f>F69</f>
        <v>0.13014970677610016</v>
      </c>
      <c r="I69" s="117">
        <f>H69</f>
        <v>0.13014970677610016</v>
      </c>
      <c r="J69" s="117">
        <f t="shared" ref="J69:J70" si="33">H69</f>
        <v>0.13014970677610016</v>
      </c>
    </row>
    <row r="70" spans="1:10" x14ac:dyDescent="0.3">
      <c r="A70" s="62" t="s">
        <v>196</v>
      </c>
      <c r="B70" s="62"/>
      <c r="C70" s="117">
        <f t="shared" si="32"/>
        <v>0.17814276689829439</v>
      </c>
      <c r="D70" s="117">
        <f t="shared" si="32"/>
        <v>0.18713136729222521</v>
      </c>
      <c r="E70" s="117">
        <f t="shared" si="32"/>
        <v>0.19873532068654021</v>
      </c>
      <c r="F70" s="117">
        <f>AVERAGE(C70:E70)</f>
        <v>0.18800315162568659</v>
      </c>
      <c r="G70" s="117">
        <f>F70+5%</f>
        <v>0.23800315162568658</v>
      </c>
      <c r="H70" s="117">
        <f>F70</f>
        <v>0.18800315162568659</v>
      </c>
      <c r="I70" s="117">
        <f>H70</f>
        <v>0.18800315162568659</v>
      </c>
      <c r="J70" s="117">
        <f t="shared" si="33"/>
        <v>0.18800315162568659</v>
      </c>
    </row>
    <row r="71" spans="1:10" x14ac:dyDescent="0.3">
      <c r="A71" s="68" t="s">
        <v>54</v>
      </c>
    </row>
    <row r="72" spans="1:10" x14ac:dyDescent="0.3">
      <c r="A72" s="68" t="s">
        <v>197</v>
      </c>
    </row>
    <row r="74" spans="1:10" x14ac:dyDescent="0.3">
      <c r="A74" s="45"/>
      <c r="B74" s="38">
        <v>2022</v>
      </c>
      <c r="C74" s="38">
        <v>2023</v>
      </c>
      <c r="D74" s="38">
        <v>2024</v>
      </c>
      <c r="E74" s="38">
        <v>2025</v>
      </c>
      <c r="F74" s="46" t="s">
        <v>58</v>
      </c>
      <c r="G74" s="46" t="s">
        <v>59</v>
      </c>
      <c r="H74" s="46" t="s">
        <v>68</v>
      </c>
      <c r="I74" s="46" t="s">
        <v>137</v>
      </c>
      <c r="J74" s="46" t="s">
        <v>138</v>
      </c>
    </row>
    <row r="75" spans="1:10" x14ac:dyDescent="0.3">
      <c r="A75" s="23" t="s">
        <v>9</v>
      </c>
      <c r="B75" s="2">
        <f>B76+B77</f>
        <v>18042000</v>
      </c>
      <c r="C75" s="2">
        <f t="shared" ref="C75:E75" si="34">C76+C77</f>
        <v>20433000</v>
      </c>
      <c r="D75" s="2">
        <f t="shared" si="34"/>
        <v>23239000</v>
      </c>
      <c r="E75" s="2">
        <f t="shared" si="34"/>
        <v>26412000</v>
      </c>
      <c r="F75" s="2"/>
      <c r="G75" s="2"/>
      <c r="H75" s="2"/>
      <c r="I75" s="2"/>
      <c r="J75" s="2"/>
    </row>
    <row r="76" spans="1:10" x14ac:dyDescent="0.3">
      <c r="A76" s="26" t="s">
        <v>10</v>
      </c>
      <c r="B76" s="3">
        <v>16459000</v>
      </c>
      <c r="C76" s="3">
        <v>18568000</v>
      </c>
      <c r="D76" s="3">
        <v>21025000</v>
      </c>
      <c r="E76" s="3">
        <v>23758000</v>
      </c>
      <c r="F76" s="3"/>
      <c r="G76" s="3"/>
      <c r="H76" s="3"/>
      <c r="I76" s="3"/>
      <c r="J76" s="3"/>
    </row>
    <row r="77" spans="1:10" x14ac:dyDescent="0.3">
      <c r="A77" s="26" t="s">
        <v>36</v>
      </c>
      <c r="B77" s="3">
        <v>1583000</v>
      </c>
      <c r="C77" s="3">
        <v>1865000</v>
      </c>
      <c r="D77" s="3">
        <v>2214000</v>
      </c>
      <c r="E77" s="3">
        <v>2654000</v>
      </c>
      <c r="F77" s="3"/>
      <c r="G77" s="3"/>
      <c r="H77" s="3"/>
      <c r="I77" s="3"/>
      <c r="J77" s="3"/>
    </row>
    <row r="78" spans="1:10" x14ac:dyDescent="0.3">
      <c r="A78" s="23" t="s">
        <v>37</v>
      </c>
      <c r="B78" s="2">
        <f>B79+B80</f>
        <v>8692000</v>
      </c>
      <c r="C78" s="2">
        <f t="shared" ref="C78:E78" si="35">C79+C80</f>
        <v>9821000</v>
      </c>
      <c r="D78" s="2">
        <f t="shared" si="35"/>
        <v>11181000</v>
      </c>
      <c r="E78" s="2">
        <f t="shared" si="35"/>
        <v>12664500</v>
      </c>
      <c r="F78" s="2"/>
      <c r="G78" s="2"/>
      <c r="H78" s="2"/>
      <c r="I78" s="2"/>
      <c r="J78" s="2"/>
    </row>
    <row r="79" spans="1:10" x14ac:dyDescent="0.3">
      <c r="A79" s="26" t="s">
        <v>11</v>
      </c>
      <c r="B79" s="3">
        <v>8236000</v>
      </c>
      <c r="C79" s="3">
        <v>9269000</v>
      </c>
      <c r="D79" s="3">
        <v>10560000</v>
      </c>
      <c r="E79" s="3">
        <v>11986500</v>
      </c>
      <c r="F79" s="3"/>
      <c r="G79" s="3"/>
      <c r="H79" s="3"/>
      <c r="I79" s="3"/>
      <c r="J79" s="3"/>
    </row>
    <row r="80" spans="1:10" x14ac:dyDescent="0.3">
      <c r="A80" s="26" t="s">
        <v>38</v>
      </c>
      <c r="B80" s="3">
        <v>456000</v>
      </c>
      <c r="C80" s="3">
        <v>552000</v>
      </c>
      <c r="D80" s="3">
        <v>621000</v>
      </c>
      <c r="E80" s="3">
        <v>678000</v>
      </c>
      <c r="F80" s="3"/>
      <c r="G80" s="3"/>
      <c r="H80" s="3"/>
      <c r="I80" s="3"/>
      <c r="J80" s="3"/>
    </row>
    <row r="81" spans="1:10" x14ac:dyDescent="0.3">
      <c r="A81" s="118" t="s">
        <v>199</v>
      </c>
      <c r="B81" s="117">
        <f>B79/B76</f>
        <v>0.50039492071207248</v>
      </c>
      <c r="C81" s="117">
        <f>C79/C76</f>
        <v>0.49919215855234811</v>
      </c>
      <c r="D81" s="117">
        <f t="shared" ref="D81:E81" si="36">D79/D76</f>
        <v>0.50225921521997619</v>
      </c>
      <c r="E81" s="117">
        <f t="shared" si="36"/>
        <v>0.50452479164912867</v>
      </c>
      <c r="F81" s="117">
        <f>AVERAGE(B81:E81)</f>
        <v>0.50159277153338144</v>
      </c>
      <c r="G81" s="117">
        <f>F81</f>
        <v>0.50159277153338144</v>
      </c>
      <c r="H81" s="117">
        <f t="shared" ref="H81:J81" si="37">G81</f>
        <v>0.50159277153338144</v>
      </c>
      <c r="I81" s="117">
        <f t="shared" si="37"/>
        <v>0.50159277153338144</v>
      </c>
      <c r="J81" s="117">
        <f t="shared" si="37"/>
        <v>0.50159277153338144</v>
      </c>
    </row>
    <row r="82" spans="1:10" x14ac:dyDescent="0.3">
      <c r="A82" s="118" t="s">
        <v>200</v>
      </c>
      <c r="B82" s="117">
        <f>B80/B77</f>
        <v>0.28806064434617812</v>
      </c>
      <c r="C82" s="117">
        <f t="shared" ref="C82:E82" si="38">C80/C77</f>
        <v>0.29597855227882036</v>
      </c>
      <c r="D82" s="117">
        <f t="shared" si="38"/>
        <v>0.28048780487804881</v>
      </c>
      <c r="E82" s="117">
        <f t="shared" si="38"/>
        <v>0.25546345139412208</v>
      </c>
      <c r="F82" s="117">
        <f>AVERAGE(B82:E82)</f>
        <v>0.27999761322429234</v>
      </c>
      <c r="G82" s="117">
        <f>F82</f>
        <v>0.27999761322429234</v>
      </c>
      <c r="H82" s="117">
        <f t="shared" ref="H82:J82" si="39">G82</f>
        <v>0.27999761322429234</v>
      </c>
      <c r="I82" s="117">
        <f t="shared" si="39"/>
        <v>0.27999761322429234</v>
      </c>
      <c r="J82" s="117">
        <f t="shared" si="39"/>
        <v>0.27999761322429234</v>
      </c>
    </row>
    <row r="84" spans="1:10" x14ac:dyDescent="0.3">
      <c r="A84" s="45"/>
      <c r="B84" s="38">
        <v>2022</v>
      </c>
      <c r="C84" s="38">
        <v>2023</v>
      </c>
      <c r="D84" s="38">
        <v>2024</v>
      </c>
      <c r="E84" s="38">
        <v>2025</v>
      </c>
      <c r="F84" s="46" t="s">
        <v>58</v>
      </c>
      <c r="G84" s="46" t="s">
        <v>59</v>
      </c>
      <c r="H84" s="46" t="s">
        <v>68</v>
      </c>
      <c r="I84" s="46" t="s">
        <v>137</v>
      </c>
      <c r="J84" s="46" t="s">
        <v>138</v>
      </c>
    </row>
    <row r="85" spans="1:10" x14ac:dyDescent="0.3">
      <c r="A85" s="24" t="s">
        <v>13</v>
      </c>
      <c r="B85" s="4">
        <v>192154</v>
      </c>
      <c r="C85" s="4">
        <v>210400</v>
      </c>
      <c r="D85" s="4">
        <v>220000</v>
      </c>
      <c r="E85" s="4">
        <v>225780</v>
      </c>
      <c r="F85" s="4"/>
      <c r="G85" s="4"/>
      <c r="H85" s="4"/>
      <c r="I85" s="4"/>
      <c r="J85" s="4"/>
    </row>
    <row r="86" spans="1:10" x14ac:dyDescent="0.3">
      <c r="A86" s="62" t="s">
        <v>201</v>
      </c>
      <c r="B86" s="62"/>
      <c r="C86" s="117">
        <f>(C85-B85)/B85</f>
        <v>9.4955088106414648E-2</v>
      </c>
      <c r="D86" s="117">
        <f>(D85-C85)/C85</f>
        <v>4.5627376425855515E-2</v>
      </c>
      <c r="E86" s="117">
        <f>(E85-D85)/D85</f>
        <v>2.6272727272727274E-2</v>
      </c>
      <c r="F86" s="117">
        <f>AVERAGE(C86:E86)</f>
        <v>5.5618397268332481E-2</v>
      </c>
      <c r="G86" s="117">
        <f>F86</f>
        <v>5.5618397268332481E-2</v>
      </c>
      <c r="H86" s="117">
        <f t="shared" ref="H86:J86" si="40">G86</f>
        <v>5.5618397268332481E-2</v>
      </c>
      <c r="I86" s="117">
        <f t="shared" si="40"/>
        <v>5.5618397268332481E-2</v>
      </c>
      <c r="J86" s="117">
        <f t="shared" si="40"/>
        <v>5.5618397268332481E-2</v>
      </c>
    </row>
    <row r="88" spans="1:10" x14ac:dyDescent="0.3">
      <c r="A88" s="45"/>
      <c r="B88" s="38">
        <v>2022</v>
      </c>
      <c r="C88" s="38">
        <v>2023</v>
      </c>
      <c r="D88" s="38">
        <v>2024</v>
      </c>
      <c r="E88" s="38">
        <v>2025</v>
      </c>
      <c r="F88" s="46" t="s">
        <v>58</v>
      </c>
      <c r="G88" s="46" t="s">
        <v>59</v>
      </c>
      <c r="H88" s="46" t="s">
        <v>68</v>
      </c>
      <c r="I88" s="46" t="s">
        <v>137</v>
      </c>
      <c r="J88" s="46" t="s">
        <v>138</v>
      </c>
    </row>
    <row r="89" spans="1:10" x14ac:dyDescent="0.3">
      <c r="A89" s="26" t="s">
        <v>18</v>
      </c>
      <c r="B89" s="3">
        <v>50000</v>
      </c>
      <c r="C89" s="3">
        <v>52000</v>
      </c>
      <c r="D89" s="3">
        <v>55000</v>
      </c>
      <c r="E89" s="3">
        <v>57000</v>
      </c>
      <c r="F89" s="3"/>
      <c r="G89" s="3"/>
      <c r="H89" s="3"/>
      <c r="I89" s="3"/>
      <c r="J89" s="3"/>
    </row>
    <row r="90" spans="1:10" x14ac:dyDescent="0.3">
      <c r="A90" s="62" t="s">
        <v>202</v>
      </c>
      <c r="B90" s="62"/>
      <c r="C90" s="117">
        <f>(C89-B89)/B89</f>
        <v>0.04</v>
      </c>
      <c r="D90" s="117">
        <f t="shared" ref="D90:E90" si="41">(D89-C89)/C89</f>
        <v>5.7692307692307696E-2</v>
      </c>
      <c r="E90" s="117">
        <f t="shared" si="41"/>
        <v>3.6363636363636362E-2</v>
      </c>
      <c r="F90" s="63">
        <f>AVERAGE(C90:E90)</f>
        <v>4.4685314685314691E-2</v>
      </c>
      <c r="G90" s="63">
        <f>F90</f>
        <v>4.4685314685314691E-2</v>
      </c>
      <c r="H90" s="63">
        <f t="shared" ref="H90:J90" si="42">G90</f>
        <v>4.4685314685314691E-2</v>
      </c>
      <c r="I90" s="63">
        <f t="shared" si="42"/>
        <v>4.4685314685314691E-2</v>
      </c>
      <c r="J90" s="63">
        <f t="shared" si="42"/>
        <v>4.4685314685314691E-2</v>
      </c>
    </row>
    <row r="92" spans="1:10" x14ac:dyDescent="0.3">
      <c r="A92" s="119"/>
      <c r="B92" s="38">
        <v>2022</v>
      </c>
      <c r="C92" s="38">
        <v>2023</v>
      </c>
      <c r="D92" s="38">
        <v>2024</v>
      </c>
      <c r="E92" s="38">
        <v>2025</v>
      </c>
      <c r="F92" s="46" t="s">
        <v>58</v>
      </c>
      <c r="G92" s="46" t="s">
        <v>59</v>
      </c>
      <c r="H92" s="46" t="s">
        <v>68</v>
      </c>
      <c r="I92" s="46" t="s">
        <v>137</v>
      </c>
      <c r="J92" s="46" t="s">
        <v>138</v>
      </c>
    </row>
    <row r="93" spans="1:10" x14ac:dyDescent="0.3">
      <c r="A93" s="77" t="s">
        <v>21</v>
      </c>
      <c r="B93" s="120">
        <v>5205405</v>
      </c>
      <c r="C93" s="120">
        <v>6231140</v>
      </c>
      <c r="D93" s="120">
        <v>7561720</v>
      </c>
      <c r="E93" s="120">
        <v>9208220</v>
      </c>
      <c r="F93" s="77"/>
      <c r="G93" s="77"/>
      <c r="H93" s="77"/>
      <c r="I93" s="77"/>
      <c r="J93" s="77"/>
    </row>
    <row r="94" spans="1:10" x14ac:dyDescent="0.3">
      <c r="A94" s="77" t="s">
        <v>22</v>
      </c>
      <c r="B94" s="120">
        <v>873466.95900000003</v>
      </c>
      <c r="C94" s="120">
        <v>1058047.5719999999</v>
      </c>
      <c r="D94" s="120">
        <v>1228779.5</v>
      </c>
      <c r="E94" s="120">
        <v>1542376.85</v>
      </c>
      <c r="F94" s="77"/>
      <c r="G94" s="77"/>
      <c r="H94" s="77"/>
      <c r="I94" s="77"/>
      <c r="J94" s="77"/>
    </row>
    <row r="95" spans="1:10" x14ac:dyDescent="0.3">
      <c r="A95" s="77" t="s">
        <v>203</v>
      </c>
      <c r="B95" s="117">
        <f>B94/B93</f>
        <v>0.1678</v>
      </c>
      <c r="C95" s="117">
        <f t="shared" ref="C95:E95" si="43">C94/C93</f>
        <v>0.16979999999999998</v>
      </c>
      <c r="D95" s="117">
        <f t="shared" si="43"/>
        <v>0.16250000000000001</v>
      </c>
      <c r="E95" s="117">
        <f t="shared" si="43"/>
        <v>0.16750000000000001</v>
      </c>
      <c r="F95" s="117">
        <f>AVERAGE(B95:E95)</f>
        <v>0.16689999999999999</v>
      </c>
      <c r="G95" s="117">
        <f>F95</f>
        <v>0.16689999999999999</v>
      </c>
      <c r="H95" s="117">
        <f t="shared" ref="H95:I95" si="44">G95</f>
        <v>0.16689999999999999</v>
      </c>
      <c r="I95" s="117">
        <f t="shared" si="44"/>
        <v>0.16689999999999999</v>
      </c>
      <c r="J95" s="117">
        <f>I95</f>
        <v>0.16689999999999999</v>
      </c>
    </row>
  </sheetData>
  <mergeCells count="3">
    <mergeCell ref="A3:I3"/>
    <mergeCell ref="L5:M5"/>
    <mergeCell ref="L26:Q26"/>
  </mergeCells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Equation.3" shapeId="2049" r:id="rId4">
          <objectPr defaultSize="0" autoPict="0" r:id="rId5">
            <anchor moveWithCells="1" sizeWithCells="1">
              <from>
                <xdr:col>10</xdr:col>
                <xdr:colOff>800100</xdr:colOff>
                <xdr:row>45</xdr:row>
                <xdr:rowOff>137160</xdr:rowOff>
              </from>
              <to>
                <xdr:col>14</xdr:col>
                <xdr:colOff>236220</xdr:colOff>
                <xdr:row>49</xdr:row>
                <xdr:rowOff>53340</xdr:rowOff>
              </to>
            </anchor>
          </objectPr>
        </oleObject>
      </mc:Choice>
      <mc:Fallback>
        <oleObject progId="Equation.3" shapeId="2049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7EDA5-91B4-4EAD-BE1E-EF1BDD550554}">
  <dimension ref="A1:I59"/>
  <sheetViews>
    <sheetView topLeftCell="A13" zoomScale="120" zoomScaleNormal="120" workbookViewId="0">
      <selection activeCell="F33" sqref="F33"/>
    </sheetView>
  </sheetViews>
  <sheetFormatPr defaultRowHeight="14.4" x14ac:dyDescent="0.3"/>
  <cols>
    <col min="1" max="1" width="23.5546875" customWidth="1"/>
    <col min="2" max="2" width="16.88671875" customWidth="1"/>
    <col min="3" max="3" width="19.88671875" bestFit="1" customWidth="1"/>
    <col min="4" max="5" width="16.88671875" customWidth="1"/>
    <col min="6" max="6" width="20.109375" customWidth="1"/>
    <col min="7" max="7" width="31.44140625" bestFit="1" customWidth="1"/>
    <col min="8" max="8" width="19.5546875" customWidth="1"/>
    <col min="9" max="9" width="17.44140625" customWidth="1"/>
  </cols>
  <sheetData>
    <row r="1" spans="1:9" x14ac:dyDescent="0.3">
      <c r="A1" s="86" t="s">
        <v>70</v>
      </c>
      <c r="B1" s="86"/>
      <c r="C1" s="86"/>
      <c r="G1" s="73" t="s">
        <v>8</v>
      </c>
    </row>
    <row r="3" spans="1:9" x14ac:dyDescent="0.3">
      <c r="A3" s="87" t="s">
        <v>113</v>
      </c>
      <c r="B3" s="88"/>
      <c r="C3" s="88"/>
      <c r="G3" s="91" t="s">
        <v>120</v>
      </c>
      <c r="H3" s="91">
        <v>2026</v>
      </c>
      <c r="I3" s="91">
        <v>2027</v>
      </c>
    </row>
    <row r="4" spans="1:9" x14ac:dyDescent="0.3">
      <c r="A4" s="71" t="s">
        <v>71</v>
      </c>
      <c r="B4" s="71" t="s">
        <v>72</v>
      </c>
      <c r="C4" s="71" t="s">
        <v>73</v>
      </c>
      <c r="D4" s="133">
        <v>2026</v>
      </c>
      <c r="E4" s="133">
        <v>2027</v>
      </c>
      <c r="G4" s="62" t="s">
        <v>121</v>
      </c>
      <c r="H4" s="72">
        <f>150*8*2*360*80%</f>
        <v>691200</v>
      </c>
      <c r="I4" s="72">
        <f>150*8*2*360*95%</f>
        <v>820800</v>
      </c>
    </row>
    <row r="5" spans="1:9" x14ac:dyDescent="0.3">
      <c r="A5" s="62" t="s">
        <v>74</v>
      </c>
      <c r="B5" s="72">
        <v>1200000</v>
      </c>
      <c r="C5" s="72"/>
      <c r="D5" s="133"/>
      <c r="E5" s="133"/>
      <c r="G5" s="62" t="s">
        <v>207</v>
      </c>
      <c r="H5" s="62">
        <v>8</v>
      </c>
      <c r="I5" s="62">
        <v>9</v>
      </c>
    </row>
    <row r="6" spans="1:9" x14ac:dyDescent="0.3">
      <c r="A6" s="62" t="s">
        <v>75</v>
      </c>
      <c r="B6" s="72">
        <v>700000</v>
      </c>
      <c r="C6" s="72">
        <v>25</v>
      </c>
      <c r="D6" s="133">
        <f>B6/C6</f>
        <v>28000</v>
      </c>
      <c r="E6" s="133">
        <f>D6</f>
        <v>28000</v>
      </c>
      <c r="G6" s="70" t="s">
        <v>122</v>
      </c>
      <c r="H6" s="92">
        <f>H4*H5</f>
        <v>5529600</v>
      </c>
      <c r="I6" s="92">
        <f>I4*I5</f>
        <v>7387200</v>
      </c>
    </row>
    <row r="7" spans="1:9" x14ac:dyDescent="0.3">
      <c r="A7" s="62" t="s">
        <v>76</v>
      </c>
      <c r="B7" s="72">
        <v>500000</v>
      </c>
      <c r="C7" s="72">
        <v>10</v>
      </c>
      <c r="D7" s="133">
        <f>B7/C7</f>
        <v>50000</v>
      </c>
      <c r="E7" s="133">
        <f>D7</f>
        <v>50000</v>
      </c>
      <c r="G7" s="70" t="s">
        <v>83</v>
      </c>
      <c r="H7" s="92">
        <f>SUM(H8:H11)</f>
        <v>2495232</v>
      </c>
      <c r="I7" s="92">
        <f>SUM(I8:I11)</f>
        <v>2963088</v>
      </c>
    </row>
    <row r="8" spans="1:9" x14ac:dyDescent="0.3">
      <c r="G8" s="62" t="s">
        <v>123</v>
      </c>
      <c r="H8" s="72">
        <f>0.11*H4</f>
        <v>76032</v>
      </c>
      <c r="I8" s="72">
        <f>0.11*I4</f>
        <v>90288</v>
      </c>
    </row>
    <row r="9" spans="1:9" x14ac:dyDescent="0.3">
      <c r="A9" s="87" t="s">
        <v>80</v>
      </c>
      <c r="B9" s="88"/>
      <c r="C9" s="88"/>
      <c r="G9" s="62" t="s">
        <v>124</v>
      </c>
      <c r="H9" s="72">
        <f>(4*0.4+2*0.3+1*0.2)*H4</f>
        <v>1658880.0000000002</v>
      </c>
      <c r="I9" s="72">
        <f>(4*0.4+2*0.3+1*0.2)*I4</f>
        <v>1969920.0000000002</v>
      </c>
    </row>
    <row r="10" spans="1:9" x14ac:dyDescent="0.3">
      <c r="A10" s="73" t="s">
        <v>114</v>
      </c>
      <c r="B10" s="11">
        <v>150</v>
      </c>
      <c r="C10" s="74" t="s">
        <v>77</v>
      </c>
      <c r="G10" s="62" t="s">
        <v>125</v>
      </c>
      <c r="H10" s="72">
        <f>0.2*H4</f>
        <v>138240</v>
      </c>
      <c r="I10" s="72">
        <f>0.2*I4</f>
        <v>164160</v>
      </c>
    </row>
    <row r="11" spans="1:9" x14ac:dyDescent="0.3">
      <c r="A11" t="s">
        <v>78</v>
      </c>
      <c r="G11" s="62" t="s">
        <v>126</v>
      </c>
      <c r="H11" s="72">
        <f>0.9*H4</f>
        <v>622080</v>
      </c>
      <c r="I11" s="72">
        <f>0.9*I4</f>
        <v>738720</v>
      </c>
    </row>
    <row r="12" spans="1:9" x14ac:dyDescent="0.3">
      <c r="A12" t="s">
        <v>79</v>
      </c>
      <c r="G12" s="62"/>
      <c r="H12" s="62"/>
      <c r="I12" s="62"/>
    </row>
    <row r="13" spans="1:9" x14ac:dyDescent="0.3">
      <c r="A13" t="s">
        <v>149</v>
      </c>
      <c r="G13" s="70" t="s">
        <v>127</v>
      </c>
      <c r="H13" s="92">
        <f>SUM(B29:B31)</f>
        <v>40000</v>
      </c>
      <c r="I13" s="92">
        <f>H13</f>
        <v>40000</v>
      </c>
    </row>
    <row r="14" spans="1:9" x14ac:dyDescent="0.3">
      <c r="B14">
        <v>2026</v>
      </c>
      <c r="C14">
        <v>2027</v>
      </c>
      <c r="G14" s="62"/>
      <c r="H14" s="62"/>
      <c r="I14" s="62"/>
    </row>
    <row r="15" spans="1:9" x14ac:dyDescent="0.3">
      <c r="A15" s="87" t="s">
        <v>81</v>
      </c>
      <c r="B15" s="87">
        <v>8</v>
      </c>
      <c r="C15" s="87">
        <v>9</v>
      </c>
      <c r="D15" s="89" t="s">
        <v>82</v>
      </c>
      <c r="G15" s="70" t="s">
        <v>128</v>
      </c>
      <c r="H15" s="92">
        <f>H6-H7-H13</f>
        <v>2994368</v>
      </c>
      <c r="I15" s="92">
        <f>I6-I7-I13</f>
        <v>4384112</v>
      </c>
    </row>
    <row r="16" spans="1:9" x14ac:dyDescent="0.3">
      <c r="G16" s="62" t="s">
        <v>129</v>
      </c>
      <c r="H16" s="72">
        <f>D6+D7+D42</f>
        <v>98000</v>
      </c>
      <c r="I16" s="72">
        <f>E6+E7+E42+E43</f>
        <v>100000</v>
      </c>
    </row>
    <row r="17" spans="1:9" x14ac:dyDescent="0.3">
      <c r="A17" s="87" t="s">
        <v>84</v>
      </c>
      <c r="B17" s="88"/>
      <c r="C17" s="88"/>
      <c r="G17" s="62"/>
      <c r="H17" s="62"/>
      <c r="I17" s="62"/>
    </row>
    <row r="18" spans="1:9" x14ac:dyDescent="0.3">
      <c r="A18" s="71" t="s">
        <v>71</v>
      </c>
      <c r="B18" s="71" t="s">
        <v>85</v>
      </c>
      <c r="C18" s="71" t="s">
        <v>87</v>
      </c>
      <c r="G18" s="70" t="s">
        <v>130</v>
      </c>
      <c r="H18" s="92">
        <f>H15-H16</f>
        <v>2896368</v>
      </c>
      <c r="I18" s="92">
        <f>I15-I16</f>
        <v>4284112</v>
      </c>
    </row>
    <row r="19" spans="1:9" x14ac:dyDescent="0.3">
      <c r="A19" s="62" t="s">
        <v>86</v>
      </c>
      <c r="B19" s="62">
        <v>0.11</v>
      </c>
      <c r="C19" s="75" t="s">
        <v>82</v>
      </c>
      <c r="G19" s="62" t="s">
        <v>132</v>
      </c>
      <c r="H19" s="72">
        <f>C58</f>
        <v>40000</v>
      </c>
      <c r="I19" s="72">
        <f>C59</f>
        <v>32000</v>
      </c>
    </row>
    <row r="20" spans="1:9" x14ac:dyDescent="0.3">
      <c r="A20" s="62" t="s">
        <v>88</v>
      </c>
      <c r="B20" s="62"/>
      <c r="C20" s="69"/>
      <c r="G20" s="62"/>
      <c r="H20" s="62"/>
      <c r="I20" s="62"/>
    </row>
    <row r="21" spans="1:9" x14ac:dyDescent="0.3">
      <c r="A21" s="62" t="s">
        <v>89</v>
      </c>
      <c r="B21" s="62">
        <v>0.4</v>
      </c>
      <c r="C21" s="75" t="s">
        <v>82</v>
      </c>
      <c r="G21" s="70" t="s">
        <v>133</v>
      </c>
      <c r="H21" s="92">
        <f>H18-H19</f>
        <v>2856368</v>
      </c>
      <c r="I21" s="92">
        <f>I18-I19</f>
        <v>4252112</v>
      </c>
    </row>
    <row r="22" spans="1:9" x14ac:dyDescent="0.3">
      <c r="A22" s="62" t="s">
        <v>90</v>
      </c>
      <c r="B22" s="62">
        <v>0.3</v>
      </c>
      <c r="C22" s="75" t="s">
        <v>82</v>
      </c>
      <c r="G22" s="62" t="s">
        <v>134</v>
      </c>
      <c r="H22" s="72">
        <f>16%*H21</f>
        <v>457018.88</v>
      </c>
      <c r="I22" s="72">
        <f>16%*I21</f>
        <v>680337.92000000004</v>
      </c>
    </row>
    <row r="23" spans="1:9" x14ac:dyDescent="0.3">
      <c r="A23" s="62" t="s">
        <v>91</v>
      </c>
      <c r="B23" s="62">
        <v>0.2</v>
      </c>
      <c r="C23" s="75" t="s">
        <v>82</v>
      </c>
      <c r="G23" s="62"/>
      <c r="H23" s="62"/>
      <c r="I23" s="62"/>
    </row>
    <row r="24" spans="1:9" x14ac:dyDescent="0.3">
      <c r="A24" s="62"/>
      <c r="B24" s="62"/>
      <c r="C24" s="62"/>
      <c r="G24" s="70" t="s">
        <v>109</v>
      </c>
      <c r="H24" s="92">
        <f>H21-H22</f>
        <v>2399349.12</v>
      </c>
      <c r="I24" s="92">
        <f>I21-I22</f>
        <v>3571774.08</v>
      </c>
    </row>
    <row r="25" spans="1:9" x14ac:dyDescent="0.3">
      <c r="A25" s="62" t="s">
        <v>92</v>
      </c>
      <c r="B25" s="62">
        <v>0.2</v>
      </c>
      <c r="C25" s="75" t="s">
        <v>82</v>
      </c>
    </row>
    <row r="26" spans="1:9" x14ac:dyDescent="0.3">
      <c r="A26" s="62" t="s">
        <v>93</v>
      </c>
      <c r="B26" s="62">
        <v>0.9</v>
      </c>
      <c r="C26" s="75" t="s">
        <v>82</v>
      </c>
      <c r="G26" s="73" t="s">
        <v>135</v>
      </c>
    </row>
    <row r="27" spans="1:9" x14ac:dyDescent="0.3">
      <c r="G27" s="91" t="s">
        <v>120</v>
      </c>
      <c r="H27" s="91">
        <v>2026</v>
      </c>
      <c r="I27" s="91">
        <v>2027</v>
      </c>
    </row>
    <row r="28" spans="1:9" x14ac:dyDescent="0.3">
      <c r="A28" s="87" t="s">
        <v>94</v>
      </c>
      <c r="B28" s="88"/>
      <c r="C28" s="88"/>
      <c r="G28" s="62" t="s">
        <v>109</v>
      </c>
      <c r="H28" s="72">
        <f>H24</f>
        <v>2399349.12</v>
      </c>
      <c r="I28" s="72">
        <f>I24</f>
        <v>3571774.08</v>
      </c>
    </row>
    <row r="29" spans="1:9" x14ac:dyDescent="0.3">
      <c r="A29" s="62" t="s">
        <v>95</v>
      </c>
      <c r="B29" s="72">
        <v>20000</v>
      </c>
      <c r="C29" s="76" t="s">
        <v>98</v>
      </c>
      <c r="G29" s="62" t="s">
        <v>136</v>
      </c>
      <c r="H29" s="72">
        <f>H19*(1-16%)</f>
        <v>33600</v>
      </c>
      <c r="I29" s="72">
        <f>I19*(1-16%)</f>
        <v>26880</v>
      </c>
    </row>
    <row r="30" spans="1:9" x14ac:dyDescent="0.3">
      <c r="A30" s="62" t="s">
        <v>96</v>
      </c>
      <c r="B30" s="72">
        <v>5000</v>
      </c>
      <c r="C30" s="76" t="s">
        <v>98</v>
      </c>
      <c r="G30" s="62" t="s">
        <v>24</v>
      </c>
      <c r="H30" s="72">
        <f>H16</f>
        <v>98000</v>
      </c>
      <c r="I30" s="72">
        <f>I16</f>
        <v>100000</v>
      </c>
    </row>
    <row r="31" spans="1:9" x14ac:dyDescent="0.3">
      <c r="A31" s="62" t="s">
        <v>97</v>
      </c>
      <c r="B31" s="72">
        <v>15000</v>
      </c>
      <c r="C31" s="76" t="s">
        <v>98</v>
      </c>
      <c r="G31" s="62" t="s">
        <v>25</v>
      </c>
      <c r="H31" s="72">
        <f>D39-C39</f>
        <v>44160</v>
      </c>
      <c r="I31" s="72">
        <f>E39-D39</f>
        <v>77400</v>
      </c>
    </row>
    <row r="32" spans="1:9" x14ac:dyDescent="0.3">
      <c r="G32" s="62" t="s">
        <v>26</v>
      </c>
      <c r="H32" s="72">
        <f>B42</f>
        <v>400000</v>
      </c>
      <c r="I32" s="72">
        <f>C43+C44</f>
        <v>720000</v>
      </c>
    </row>
    <row r="33" spans="1:9" x14ac:dyDescent="0.3">
      <c r="G33" s="70" t="s">
        <v>2</v>
      </c>
      <c r="H33" s="92">
        <f>H28+H29+H30-H31-H32</f>
        <v>2086789.1200000001</v>
      </c>
      <c r="I33" s="92">
        <f>I28+I29+I30-I31-I32</f>
        <v>2901254.08</v>
      </c>
    </row>
    <row r="34" spans="1:9" x14ac:dyDescent="0.3">
      <c r="A34" s="87" t="s">
        <v>102</v>
      </c>
      <c r="B34" s="88"/>
      <c r="C34" s="88"/>
      <c r="D34" s="140">
        <v>2026</v>
      </c>
      <c r="E34" s="140">
        <v>2027</v>
      </c>
    </row>
    <row r="35" spans="1:9" x14ac:dyDescent="0.3">
      <c r="A35" s="62" t="s">
        <v>99</v>
      </c>
      <c r="B35" s="62">
        <v>20</v>
      </c>
      <c r="C35" s="93" t="s">
        <v>103</v>
      </c>
      <c r="D35" s="135"/>
      <c r="E35" s="135"/>
    </row>
    <row r="36" spans="1:9" x14ac:dyDescent="0.3">
      <c r="A36" s="62" t="s">
        <v>100</v>
      </c>
      <c r="B36" s="62">
        <v>10</v>
      </c>
      <c r="C36" s="93" t="s">
        <v>103</v>
      </c>
      <c r="D36" s="135"/>
      <c r="E36" s="135"/>
      <c r="G36" s="94" t="s">
        <v>152</v>
      </c>
      <c r="H36" s="95">
        <f>H33/1.12+I33/1.12^2+2000000/1.12^2</f>
        <v>5770454.3163265297</v>
      </c>
    </row>
    <row r="37" spans="1:9" x14ac:dyDescent="0.3">
      <c r="A37" s="62" t="s">
        <v>101</v>
      </c>
      <c r="B37" s="62">
        <v>15</v>
      </c>
      <c r="C37" s="93" t="s">
        <v>103</v>
      </c>
      <c r="D37" s="135"/>
      <c r="E37" s="135"/>
    </row>
    <row r="38" spans="1:9" x14ac:dyDescent="0.3">
      <c r="A38" s="136" t="s">
        <v>211</v>
      </c>
      <c r="B38" s="137">
        <f>B35+B36-B37</f>
        <v>15</v>
      </c>
      <c r="C38" s="138" t="s">
        <v>103</v>
      </c>
      <c r="D38" s="133"/>
      <c r="E38" s="135"/>
    </row>
    <row r="39" spans="1:9" x14ac:dyDescent="0.3">
      <c r="A39" s="12" t="s">
        <v>110</v>
      </c>
      <c r="C39" s="139">
        <v>186240</v>
      </c>
      <c r="D39" s="141">
        <f>B38*H6/360</f>
        <v>230400</v>
      </c>
      <c r="E39" s="141">
        <f>B38*I6/360</f>
        <v>307800</v>
      </c>
    </row>
    <row r="41" spans="1:9" x14ac:dyDescent="0.3">
      <c r="A41" s="90" t="s">
        <v>104</v>
      </c>
      <c r="B41" s="90">
        <v>2026</v>
      </c>
      <c r="C41" s="90">
        <v>2027</v>
      </c>
      <c r="D41" s="133">
        <v>2026</v>
      </c>
      <c r="E41" s="134">
        <v>2027</v>
      </c>
    </row>
    <row r="42" spans="1:9" x14ac:dyDescent="0.3">
      <c r="A42" s="62" t="s">
        <v>105</v>
      </c>
      <c r="B42" s="72">
        <v>400000</v>
      </c>
      <c r="C42" s="72"/>
      <c r="D42" s="133">
        <f>B42/20</f>
        <v>20000</v>
      </c>
      <c r="E42" s="133">
        <f>D42</f>
        <v>20000</v>
      </c>
      <c r="F42" t="s">
        <v>115</v>
      </c>
      <c r="G42" s="94" t="s">
        <v>151</v>
      </c>
      <c r="H42" s="95">
        <f>2.5*H24</f>
        <v>5998372.8000000007</v>
      </c>
    </row>
    <row r="43" spans="1:9" x14ac:dyDescent="0.3">
      <c r="A43" s="62" t="s">
        <v>106</v>
      </c>
      <c r="B43" s="72"/>
      <c r="C43" s="72">
        <v>20000</v>
      </c>
      <c r="D43" s="133"/>
      <c r="E43" s="133">
        <f>C43/10</f>
        <v>2000</v>
      </c>
      <c r="F43" t="s">
        <v>116</v>
      </c>
    </row>
    <row r="44" spans="1:9" x14ac:dyDescent="0.3">
      <c r="A44" s="77" t="s">
        <v>74</v>
      </c>
      <c r="B44" s="62"/>
      <c r="C44" s="72">
        <v>700000</v>
      </c>
      <c r="D44" s="133"/>
      <c r="E44" s="133"/>
    </row>
    <row r="46" spans="1:9" x14ac:dyDescent="0.3">
      <c r="A46" s="87" t="s">
        <v>107</v>
      </c>
      <c r="B46" s="88"/>
      <c r="C46" s="88"/>
    </row>
    <row r="47" spans="1:9" x14ac:dyDescent="0.3">
      <c r="A47" t="s">
        <v>117</v>
      </c>
    </row>
    <row r="48" spans="1:9" x14ac:dyDescent="0.3">
      <c r="A48" t="s">
        <v>131</v>
      </c>
    </row>
    <row r="50" spans="1:4" x14ac:dyDescent="0.3">
      <c r="A50" s="73" t="s">
        <v>118</v>
      </c>
    </row>
    <row r="51" spans="1:4" x14ac:dyDescent="0.3">
      <c r="A51" s="73" t="s">
        <v>139</v>
      </c>
    </row>
    <row r="52" spans="1:4" x14ac:dyDescent="0.3">
      <c r="A52" s="73" t="s">
        <v>140</v>
      </c>
    </row>
    <row r="53" spans="1:4" x14ac:dyDescent="0.3">
      <c r="A53" s="73" t="s">
        <v>119</v>
      </c>
    </row>
    <row r="54" spans="1:4" x14ac:dyDescent="0.3">
      <c r="A54" s="73" t="s">
        <v>150</v>
      </c>
    </row>
    <row r="57" spans="1:4" x14ac:dyDescent="0.3">
      <c r="B57" s="73" t="s">
        <v>208</v>
      </c>
      <c r="C57" t="s">
        <v>209</v>
      </c>
      <c r="D57" t="s">
        <v>210</v>
      </c>
    </row>
    <row r="58" spans="1:4" x14ac:dyDescent="0.3">
      <c r="A58">
        <v>2026</v>
      </c>
      <c r="B58">
        <v>400000</v>
      </c>
      <c r="C58">
        <f>10%*B58</f>
        <v>40000</v>
      </c>
      <c r="D58">
        <f>400000/5</f>
        <v>80000</v>
      </c>
    </row>
    <row r="59" spans="1:4" x14ac:dyDescent="0.3">
      <c r="A59">
        <v>2027</v>
      </c>
      <c r="B59">
        <f>B58-D58</f>
        <v>320000</v>
      </c>
      <c r="C59">
        <f>B59*10%</f>
        <v>32000</v>
      </c>
      <c r="D59">
        <f>D58</f>
        <v>80000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Equation.3" shapeId="3073" r:id="rId3">
          <objectPr defaultSize="0" autoPict="0" r:id="rId4">
            <anchor moveWithCells="1" sizeWithCells="1">
              <from>
                <xdr:col>5</xdr:col>
                <xdr:colOff>1310640</xdr:colOff>
                <xdr:row>36</xdr:row>
                <xdr:rowOff>121920</xdr:rowOff>
              </from>
              <to>
                <xdr:col>8</xdr:col>
                <xdr:colOff>1051560</xdr:colOff>
                <xdr:row>40</xdr:row>
                <xdr:rowOff>30480</xdr:rowOff>
              </to>
            </anchor>
          </objectPr>
        </oleObject>
      </mc:Choice>
      <mc:Fallback>
        <oleObject progId="Equation.3" shapeId="3073" r:id="rId3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Aplicatii</vt:lpstr>
      <vt:lpstr>Aplicatie DCF</vt:lpstr>
      <vt:lpstr>SC Brutar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2026-09-14T17:59:19Z</dcterms:modified>
</cp:coreProperties>
</file>