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embeddings/oleObject1.bin" ContentType="application/vnd.openxmlformats-officedocument.oleObject"/>
  <Override PartName="/xl/drawings/drawing2.xml" ContentType="application/vnd.openxmlformats-officedocument.drawing+xml"/>
  <Override PartName="/xl/embeddings/oleObject2.bin" ContentType="application/vnd.openxmlformats-officedocument.oleObject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filterPrivacy="1" codeName="ThisWorkbook"/>
  <xr:revisionPtr revIDLastSave="0" documentId="8_{DA11D170-DFEE-4249-B7C4-04690D201945}" xr6:coauthVersionLast="47" xr6:coauthVersionMax="47" xr10:uidLastSave="{00000000-0000-0000-0000-000000000000}"/>
  <bookViews>
    <workbookView xWindow="-120" yWindow="-120" windowWidth="29040" windowHeight="15720" activeTab="1" xr2:uid="{00000000-000D-0000-FFFF-FFFF00000000}"/>
  </bookViews>
  <sheets>
    <sheet name="Aplicatie DCF" sheetId="7" r:id="rId1"/>
    <sheet name="SC Brutar" sheetId="8" r:id="rId2"/>
  </sheets>
  <definedNames>
    <definedName name="COE">#REF!</definedName>
    <definedName name="Coef2007">#REF!</definedName>
    <definedName name="Coef2008">#REF!</definedName>
    <definedName name="Coef2009">#REF!</definedName>
    <definedName name="Coef2010">#REF!</definedName>
    <definedName name="CoefTarget">#REF!</definedName>
    <definedName name="DPR">#REF!</definedName>
    <definedName name="ede">#REF!</definedName>
    <definedName name="PGR">#REF!</definedName>
    <definedName name="rer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40" i="8" l="1"/>
  <c r="J39" i="8"/>
  <c r="J38" i="8"/>
  <c r="I33" i="8"/>
  <c r="H33" i="8"/>
  <c r="I32" i="8"/>
  <c r="H32" i="8"/>
  <c r="E42" i="8"/>
  <c r="I31" i="8"/>
  <c r="H31" i="8"/>
  <c r="D38" i="8"/>
  <c r="I30" i="8"/>
  <c r="H30" i="8"/>
  <c r="I29" i="8"/>
  <c r="H29" i="8"/>
  <c r="I28" i="8"/>
  <c r="H28" i="8"/>
  <c r="I24" i="8"/>
  <c r="H24" i="8"/>
  <c r="I22" i="8"/>
  <c r="H22" i="8"/>
  <c r="I21" i="8"/>
  <c r="H21" i="8"/>
  <c r="I19" i="8"/>
  <c r="H19" i="8"/>
  <c r="I18" i="8"/>
  <c r="H18" i="8"/>
  <c r="I15" i="8"/>
  <c r="H15" i="8"/>
  <c r="I7" i="8"/>
  <c r="H7" i="8"/>
  <c r="I16" i="8"/>
  <c r="H16" i="8"/>
  <c r="I13" i="8"/>
  <c r="H13" i="8"/>
  <c r="I11" i="8"/>
  <c r="H11" i="8"/>
  <c r="I10" i="8"/>
  <c r="H10" i="8"/>
  <c r="I9" i="8"/>
  <c r="H9" i="8"/>
  <c r="I8" i="8"/>
  <c r="H8" i="8"/>
  <c r="I6" i="8"/>
  <c r="H6" i="8"/>
  <c r="I4" i="8"/>
  <c r="H4" i="8"/>
  <c r="C57" i="8"/>
  <c r="M42" i="7"/>
  <c r="E50" i="7"/>
  <c r="D96" i="7"/>
  <c r="E96" i="7"/>
  <c r="C96" i="7"/>
  <c r="F96" i="7" s="1"/>
  <c r="F22" i="7"/>
  <c r="M29" i="7" s="1"/>
  <c r="F19" i="7"/>
  <c r="G19" i="7" s="1"/>
  <c r="H19" i="7" s="1"/>
  <c r="I19" i="7" s="1"/>
  <c r="J19" i="7" s="1"/>
  <c r="F18" i="7"/>
  <c r="F17" i="7"/>
  <c r="G17" i="7" s="1"/>
  <c r="H17" i="7" s="1"/>
  <c r="I17" i="7" s="1"/>
  <c r="J17" i="7" s="1"/>
  <c r="F16" i="7"/>
  <c r="G16" i="7" s="1"/>
  <c r="H16" i="7" s="1"/>
  <c r="D90" i="7"/>
  <c r="E90" i="7"/>
  <c r="C90" i="7"/>
  <c r="F90" i="7" s="1"/>
  <c r="C89" i="7"/>
  <c r="D89" i="7"/>
  <c r="E89" i="7"/>
  <c r="B89" i="7"/>
  <c r="F13" i="7"/>
  <c r="G13" i="7" s="1"/>
  <c r="H13" i="7" s="1"/>
  <c r="I13" i="7" s="1"/>
  <c r="J13" i="7" s="1"/>
  <c r="F9" i="7"/>
  <c r="G9" i="7"/>
  <c r="H9" i="7"/>
  <c r="I9" i="7"/>
  <c r="J9" i="7"/>
  <c r="C82" i="7"/>
  <c r="D82" i="7"/>
  <c r="E82" i="7"/>
  <c r="C83" i="7"/>
  <c r="D83" i="7"/>
  <c r="E83" i="7"/>
  <c r="B83" i="7"/>
  <c r="F83" i="7" s="1"/>
  <c r="G83" i="7" s="1"/>
  <c r="H83" i="7" s="1"/>
  <c r="I83" i="7" s="1"/>
  <c r="J83" i="7" s="1"/>
  <c r="B82" i="7"/>
  <c r="F82" i="7" s="1"/>
  <c r="G82" i="7" s="1"/>
  <c r="H82" i="7" s="1"/>
  <c r="I82" i="7" s="1"/>
  <c r="J82" i="7" s="1"/>
  <c r="E79" i="7"/>
  <c r="D79" i="7"/>
  <c r="C79" i="7"/>
  <c r="B79" i="7"/>
  <c r="F6" i="7"/>
  <c r="F12" i="7" s="1"/>
  <c r="G6" i="7"/>
  <c r="G12" i="7" s="1"/>
  <c r="H6" i="7"/>
  <c r="H12" i="7" s="1"/>
  <c r="I6" i="7"/>
  <c r="I12" i="7" s="1"/>
  <c r="J6" i="7"/>
  <c r="J12" i="7" s="1"/>
  <c r="D73" i="7"/>
  <c r="E73" i="7"/>
  <c r="D74" i="7"/>
  <c r="E74" i="7"/>
  <c r="C74" i="7"/>
  <c r="F74" i="7" s="1"/>
  <c r="C73" i="7"/>
  <c r="F73" i="7" s="1"/>
  <c r="E70" i="7"/>
  <c r="D70" i="7"/>
  <c r="C70" i="7"/>
  <c r="B70" i="7"/>
  <c r="F63" i="7"/>
  <c r="M15" i="7" s="1"/>
  <c r="D6" i="8"/>
  <c r="E6" i="8" s="1"/>
  <c r="G18" i="7" l="1"/>
  <c r="M30" i="7"/>
  <c r="G96" i="7"/>
  <c r="H96" i="7" s="1"/>
  <c r="I96" i="7" s="1"/>
  <c r="J96" i="7" s="1"/>
  <c r="F95" i="7"/>
  <c r="G22" i="7"/>
  <c r="N29" i="7" s="1"/>
  <c r="F23" i="7"/>
  <c r="G15" i="7"/>
  <c r="G20" i="7" s="1"/>
  <c r="F15" i="7"/>
  <c r="F20" i="7" s="1"/>
  <c r="F24" i="7" s="1"/>
  <c r="H15" i="7"/>
  <c r="H20" i="7" s="1"/>
  <c r="I16" i="7"/>
  <c r="F88" i="7"/>
  <c r="G90" i="7"/>
  <c r="H90" i="7" s="1"/>
  <c r="I90" i="7" s="1"/>
  <c r="J90" i="7" s="1"/>
  <c r="F72" i="7"/>
  <c r="H74" i="7"/>
  <c r="G74" i="7"/>
  <c r="F71" i="7"/>
  <c r="H73" i="7"/>
  <c r="I73" i="7" s="1"/>
  <c r="J73" i="7" s="1"/>
  <c r="G73" i="7"/>
  <c r="I74" i="7"/>
  <c r="J74" i="7" s="1"/>
  <c r="E37" i="8"/>
  <c r="D37" i="8"/>
  <c r="E36" i="8"/>
  <c r="D36" i="8"/>
  <c r="E35" i="8"/>
  <c r="D35" i="8"/>
  <c r="C59" i="8"/>
  <c r="C60" i="8"/>
  <c r="C61" i="8"/>
  <c r="D57" i="8"/>
  <c r="C58" i="8"/>
  <c r="D7" i="8"/>
  <c r="E7" i="8" s="1"/>
  <c r="M6" i="7"/>
  <c r="M14" i="7"/>
  <c r="H56" i="7"/>
  <c r="M11" i="7" s="1"/>
  <c r="G38" i="7"/>
  <c r="E28" i="7"/>
  <c r="E15" i="7"/>
  <c r="N30" i="7" l="1"/>
  <c r="H18" i="7"/>
  <c r="F99" i="7"/>
  <c r="F26" i="7"/>
  <c r="G23" i="7"/>
  <c r="G24" i="7" s="1"/>
  <c r="H22" i="7"/>
  <c r="O29" i="7" s="1"/>
  <c r="G95" i="7"/>
  <c r="H95" i="7" s="1"/>
  <c r="I95" i="7" s="1"/>
  <c r="J95" i="7" s="1"/>
  <c r="I15" i="7"/>
  <c r="I20" i="7" s="1"/>
  <c r="J16" i="7"/>
  <c r="J15" i="7" s="1"/>
  <c r="J20" i="7" s="1"/>
  <c r="F89" i="7"/>
  <c r="F91" i="7" s="1"/>
  <c r="G88" i="7"/>
  <c r="G72" i="7"/>
  <c r="F81" i="7"/>
  <c r="G71" i="7"/>
  <c r="F70" i="7"/>
  <c r="F80" i="7"/>
  <c r="F79" i="7" s="1"/>
  <c r="E38" i="8"/>
  <c r="E57" i="8"/>
  <c r="F57" i="8"/>
  <c r="B58" i="8" s="1"/>
  <c r="H57" i="7"/>
  <c r="M12" i="7" s="1"/>
  <c r="M17" i="7" s="1"/>
  <c r="M35" i="7" s="1"/>
  <c r="C23" i="7"/>
  <c r="O30" i="7" l="1"/>
  <c r="I18" i="7"/>
  <c r="F27" i="7"/>
  <c r="M28" i="7"/>
  <c r="G99" i="7"/>
  <c r="G26" i="7"/>
  <c r="N28" i="7" s="1"/>
  <c r="H23" i="7"/>
  <c r="H24" i="7" s="1"/>
  <c r="I22" i="7"/>
  <c r="P29" i="7" s="1"/>
  <c r="G89" i="7"/>
  <c r="G91" i="7" s="1"/>
  <c r="H88" i="7"/>
  <c r="G81" i="7"/>
  <c r="H72" i="7"/>
  <c r="G70" i="7"/>
  <c r="G80" i="7"/>
  <c r="H71" i="7"/>
  <c r="D58" i="8"/>
  <c r="E58" i="8" s="1"/>
  <c r="F58" i="8"/>
  <c r="B59" i="8" s="1"/>
  <c r="B15" i="7"/>
  <c r="C15" i="7"/>
  <c r="D15" i="7"/>
  <c r="P30" i="7" l="1"/>
  <c r="J18" i="7"/>
  <c r="Q30" i="7" s="1"/>
  <c r="H99" i="7"/>
  <c r="H26" i="7"/>
  <c r="O28" i="7" s="1"/>
  <c r="I23" i="7"/>
  <c r="I24" i="7" s="1"/>
  <c r="J22" i="7"/>
  <c r="G79" i="7"/>
  <c r="H89" i="7"/>
  <c r="H91" i="7" s="1"/>
  <c r="I88" i="7"/>
  <c r="H81" i="7"/>
  <c r="I72" i="7"/>
  <c r="H70" i="7"/>
  <c r="H80" i="7"/>
  <c r="I71" i="7"/>
  <c r="F59" i="8"/>
  <c r="B60" i="8" s="1"/>
  <c r="D59" i="8"/>
  <c r="E59" i="8" s="1"/>
  <c r="B63" i="7"/>
  <c r="B65" i="7" s="1"/>
  <c r="B57" i="7"/>
  <c r="B60" i="7" s="1"/>
  <c r="B48" i="7"/>
  <c r="B52" i="7" s="1"/>
  <c r="E23" i="7"/>
  <c r="D23" i="7"/>
  <c r="B23" i="7"/>
  <c r="E9" i="7"/>
  <c r="D9" i="7"/>
  <c r="C9" i="7"/>
  <c r="B9" i="7"/>
  <c r="E6" i="7"/>
  <c r="E52" i="7" s="1"/>
  <c r="D6" i="7"/>
  <c r="C6" i="7"/>
  <c r="B6" i="7"/>
  <c r="J23" i="7" l="1"/>
  <c r="J24" i="7" s="1"/>
  <c r="Q29" i="7"/>
  <c r="H79" i="7"/>
  <c r="I99" i="7"/>
  <c r="I26" i="7"/>
  <c r="P28" i="7" s="1"/>
  <c r="J99" i="7"/>
  <c r="J26" i="7"/>
  <c r="Q28" i="7" s="1"/>
  <c r="I89" i="7"/>
  <c r="I91" i="7" s="1"/>
  <c r="J88" i="7"/>
  <c r="J89" i="7" s="1"/>
  <c r="J91" i="7" s="1"/>
  <c r="I81" i="7"/>
  <c r="J72" i="7"/>
  <c r="J81" i="7" s="1"/>
  <c r="I70" i="7"/>
  <c r="I80" i="7"/>
  <c r="J71" i="7"/>
  <c r="F60" i="8"/>
  <c r="B61" i="8" s="1"/>
  <c r="D60" i="8"/>
  <c r="E60" i="8" s="1"/>
  <c r="G28" i="7"/>
  <c r="N31" i="7" s="1"/>
  <c r="H28" i="7"/>
  <c r="O31" i="7" s="1"/>
  <c r="I28" i="7"/>
  <c r="P31" i="7" s="1"/>
  <c r="P33" i="7" s="1"/>
  <c r="J28" i="7"/>
  <c r="Q31" i="7" s="1"/>
  <c r="Q33" i="7" s="1"/>
  <c r="M37" i="7" s="1"/>
  <c r="M38" i="7" s="1"/>
  <c r="F28" i="7"/>
  <c r="M31" i="7" s="1"/>
  <c r="M33" i="7" s="1"/>
  <c r="B12" i="7"/>
  <c r="B20" i="7" s="1"/>
  <c r="B24" i="7" s="1"/>
  <c r="C12" i="7"/>
  <c r="C20" i="7" s="1"/>
  <c r="C24" i="7" s="1"/>
  <c r="D12" i="7"/>
  <c r="D20" i="7" s="1"/>
  <c r="D24" i="7" s="1"/>
  <c r="E12" i="7"/>
  <c r="E20" i="7" s="1"/>
  <c r="E24" i="7" s="1"/>
  <c r="B25" i="7" l="1"/>
  <c r="B100" i="7" s="1"/>
  <c r="B99" i="7"/>
  <c r="B26" i="7"/>
  <c r="B27" i="7" s="1"/>
  <c r="C25" i="7"/>
  <c r="C99" i="7"/>
  <c r="D25" i="7"/>
  <c r="D99" i="7"/>
  <c r="E25" i="7"/>
  <c r="E99" i="7"/>
  <c r="J70" i="7"/>
  <c r="J80" i="7"/>
  <c r="J79" i="7" s="1"/>
  <c r="I79" i="7"/>
  <c r="F61" i="8"/>
  <c r="D61" i="8"/>
  <c r="E61" i="8" s="1"/>
  <c r="O33" i="7"/>
  <c r="N33" i="7"/>
  <c r="M36" i="7" s="1"/>
  <c r="M39" i="7" s="1"/>
  <c r="M40" i="7" s="1"/>
  <c r="G27" i="7"/>
  <c r="C100" i="7" l="1"/>
  <c r="C101" i="7" s="1"/>
  <c r="C26" i="7"/>
  <c r="C27" i="7" s="1"/>
  <c r="D100" i="7"/>
  <c r="D101" i="7" s="1"/>
  <c r="D26" i="7"/>
  <c r="D27" i="7" s="1"/>
  <c r="E100" i="7"/>
  <c r="E101" i="7" s="1"/>
  <c r="E26" i="7"/>
  <c r="E27" i="7" s="1"/>
  <c r="B101" i="7"/>
  <c r="H27" i="7"/>
  <c r="F101" i="7" l="1"/>
  <c r="J27" i="7"/>
  <c r="I27" i="7"/>
  <c r="G101" i="7" l="1"/>
  <c r="F100" i="7"/>
  <c r="H101" i="7" l="1"/>
  <c r="G100" i="7"/>
  <c r="I101" i="7" l="1"/>
  <c r="H100" i="7"/>
  <c r="J101" i="7" l="1"/>
  <c r="J100" i="7" s="1"/>
  <c r="I100" i="7"/>
</calcChain>
</file>

<file path=xl/sharedStrings.xml><?xml version="1.0" encoding="utf-8"?>
<sst xmlns="http://schemas.openxmlformats.org/spreadsheetml/2006/main" count="240" uniqueCount="186">
  <si>
    <t>Marja Bruta</t>
  </si>
  <si>
    <t>Profitul brut din exploatare - EBIT</t>
  </si>
  <si>
    <t>FNNI - CFD</t>
  </si>
  <si>
    <t>FNNI - CFD actualizat</t>
  </si>
  <si>
    <t>Suma FNNI - CFD actualizat</t>
  </si>
  <si>
    <t>Valuarea terminala actualizata</t>
  </si>
  <si>
    <t>Valoarea intreprinderii</t>
  </si>
  <si>
    <t>Situatia veniturilor si cheltuielilor</t>
  </si>
  <si>
    <t>Venituri, Total</t>
  </si>
  <si>
    <t>Venituri din marfuri</t>
  </si>
  <si>
    <t>Cheltuieli cu marfurile (cheltuieli variabile)</t>
  </si>
  <si>
    <t>Alte venituri operationale</t>
  </si>
  <si>
    <t>Chetuieli de marketing</t>
  </si>
  <si>
    <t>Salarii</t>
  </si>
  <si>
    <t>Taxe locale</t>
  </si>
  <si>
    <t>Amortizare/Deprecieri</t>
  </si>
  <si>
    <t>Alte cheltuieli operationale</t>
  </si>
  <si>
    <t>Venituri financiare (Conturi curente)</t>
  </si>
  <si>
    <t>Cheltuieli financiare (dobanzi)</t>
  </si>
  <si>
    <t>Rezultat financiar</t>
  </si>
  <si>
    <t>Profitul brut</t>
  </si>
  <si>
    <t xml:space="preserve">Impozitul pe profit </t>
  </si>
  <si>
    <t>Profitul net</t>
  </si>
  <si>
    <t>+Amortizari/Dep</t>
  </si>
  <si>
    <t>- ΔNFR</t>
  </si>
  <si>
    <t>- CAPEX</t>
  </si>
  <si>
    <t>2. Ponderea cheltuielilor variabile se mentine constanta</t>
  </si>
  <si>
    <t>IPOTEZE</t>
  </si>
  <si>
    <t>Scenariul de baza</t>
  </si>
  <si>
    <t>Cheltuieli generale si administrative</t>
  </si>
  <si>
    <t>Rata de actualizare - Costul capitalurilor investite (CMPC)</t>
  </si>
  <si>
    <t>Kcpr</t>
  </si>
  <si>
    <t>Kdatorii</t>
  </si>
  <si>
    <t>Rata de dobanda medie</t>
  </si>
  <si>
    <t>Rata de actualizare</t>
  </si>
  <si>
    <t>Venituri din servicii</t>
  </si>
  <si>
    <t>Costul cu marfurile si serviciile</t>
  </si>
  <si>
    <t>Cheltuieli cu serviciile (cheltuieli variabile)</t>
  </si>
  <si>
    <t xml:space="preserve">7. K - este fundamentat prin CMPC. Societatea activeaza in sectorul retail, iar pentru costul capitalului propriu folosim CAPM. </t>
  </si>
  <si>
    <t>8.Sectorul retail, conform INS are urmatoarele rate de crestere in ultimii ani: 3.7%, 4.2%, 4.1%, 3.9%.  - Va putea avea impact in rata de crestere a CFD (CNNI) de dupa perioada de previziune explicita</t>
  </si>
  <si>
    <t>Activ</t>
  </si>
  <si>
    <t>Active imobilizate</t>
  </si>
  <si>
    <t>Active circulante:</t>
  </si>
  <si>
    <t>- Stocuri</t>
  </si>
  <si>
    <t>- Clienți</t>
  </si>
  <si>
    <t>.- Casa si conturile la banci</t>
  </si>
  <si>
    <t>TOTAL Activ</t>
  </si>
  <si>
    <t>Capitaluri si Datorii</t>
  </si>
  <si>
    <t>Capitaluri proprii</t>
  </si>
  <si>
    <t>Datorii financiare pe TL</t>
  </si>
  <si>
    <t>Datorii curente:</t>
  </si>
  <si>
    <t>- Datorii de exploatare</t>
  </si>
  <si>
    <t>- Credite bancare pe TS</t>
  </si>
  <si>
    <t>TOTAL Capitaluri și datorii</t>
  </si>
  <si>
    <t>Credite</t>
  </si>
  <si>
    <t>Sold credit</t>
  </si>
  <si>
    <t>Rata de dobanda</t>
  </si>
  <si>
    <t>1. Banca Romaneasca</t>
  </si>
  <si>
    <t>2. Raiffeisen Bank</t>
  </si>
  <si>
    <t>3. BCR</t>
  </si>
  <si>
    <t>1.Veniturile din marfuri si servicii isi vor pastra trendul istoric</t>
  </si>
  <si>
    <t>NFR adecvat</t>
  </si>
  <si>
    <t>CPR / (CPR + DAT fin)</t>
  </si>
  <si>
    <t>DAT fin / (CPR+DAT fin)</t>
  </si>
  <si>
    <t>CMPC - Rata de actualizare</t>
  </si>
  <si>
    <t>Valoarea capitalurilor proprii</t>
  </si>
  <si>
    <t>2026e</t>
  </si>
  <si>
    <t>2027e</t>
  </si>
  <si>
    <t>Rf</t>
  </si>
  <si>
    <t>beta</t>
  </si>
  <si>
    <t>prima de piata</t>
  </si>
  <si>
    <t>Valoarea unei actiuni/parti sociale</t>
  </si>
  <si>
    <t>6. NFR - 17,26% din cifra de afaceri</t>
  </si>
  <si>
    <t>FNNI</t>
  </si>
  <si>
    <t>flux net de numerar al intreprinderii</t>
  </si>
  <si>
    <t>VT = CF din ultimul an (1+g) / (k-g)</t>
  </si>
  <si>
    <t>Total actiuni/parti sociale = 1,000,000</t>
  </si>
  <si>
    <t>2028e</t>
  </si>
  <si>
    <t>Bilant 31.12.2023</t>
  </si>
  <si>
    <t>Scopul evaluarii este stabilirea valorii de piata din perspectiva vanzarii societatii</t>
  </si>
  <si>
    <t>BrutarPAN SA</t>
  </si>
  <si>
    <t>Elemente</t>
  </si>
  <si>
    <t>Valoare in lei</t>
  </si>
  <si>
    <t>Durata de amortizare</t>
  </si>
  <si>
    <t>Terenuri</t>
  </si>
  <si>
    <t>Cladiri</t>
  </si>
  <si>
    <t>Utilaje</t>
  </si>
  <si>
    <t>paini/h</t>
  </si>
  <si>
    <t>Productia totala este vanduta</t>
  </si>
  <si>
    <t>2 schimburi, 8 ore/schimb/ 360 zile pe an</t>
  </si>
  <si>
    <t>Vanzari</t>
  </si>
  <si>
    <t>Pret de vanzare</t>
  </si>
  <si>
    <t>lei/bucata</t>
  </si>
  <si>
    <t>Costuri variabile</t>
  </si>
  <si>
    <t>Costuri variabile (costuri variabile)</t>
  </si>
  <si>
    <t>Valori</t>
  </si>
  <si>
    <t>Faina</t>
  </si>
  <si>
    <t>Unitate de masura</t>
  </si>
  <si>
    <t>Salarii:</t>
  </si>
  <si>
    <t>4 brutari</t>
  </si>
  <si>
    <t>2 soferi</t>
  </si>
  <si>
    <t>1 vanzator</t>
  </si>
  <si>
    <t>Cheltuieli cu energia</t>
  </si>
  <si>
    <t>Alte ch variabile</t>
  </si>
  <si>
    <t>Cheltuieli fixe</t>
  </si>
  <si>
    <t>Utilitati</t>
  </si>
  <si>
    <t>Mentenanta</t>
  </si>
  <si>
    <t>Salarii TESA</t>
  </si>
  <si>
    <t>lei anual</t>
  </si>
  <si>
    <t>Rotatia stocurilor</t>
  </si>
  <si>
    <t>Rotatia creante</t>
  </si>
  <si>
    <t>Plata datoriilor curente</t>
  </si>
  <si>
    <t>Finantarea activitatii curent (rate de rotatie)</t>
  </si>
  <si>
    <t>zile</t>
  </si>
  <si>
    <t>Investitii</t>
  </si>
  <si>
    <t>Cuptor</t>
  </si>
  <si>
    <t>Masina de feliat</t>
  </si>
  <si>
    <t>Finantare pe termen lung</t>
  </si>
  <si>
    <t>Medie dobanda</t>
  </si>
  <si>
    <t>Marje de profit</t>
  </si>
  <si>
    <t>Profit net</t>
  </si>
  <si>
    <t>"+Ch dob(1-16%)</t>
  </si>
  <si>
    <t>NFR</t>
  </si>
  <si>
    <t>NFR = Stocurilor + Creantelor - Datoriilor de exploatare</t>
  </si>
  <si>
    <t>NFR / Cifra de afaceri</t>
  </si>
  <si>
    <t>media de crestere a sectorului</t>
  </si>
  <si>
    <t>Pondere capital propriu in total capitaluri</t>
  </si>
  <si>
    <t>Capital propriu / (Capital propriu + datorii pe TL)</t>
  </si>
  <si>
    <t>Datorii pe TL / (Capital propriu + datorii pe TL)</t>
  </si>
  <si>
    <t>Informatii privind activele societatii</t>
  </si>
  <si>
    <t>Capacitate productie</t>
  </si>
  <si>
    <t>Amortizare 20 ani</t>
  </si>
  <si>
    <t>Amortizare 10 ani</t>
  </si>
  <si>
    <t>Credit de 400.000 cu rambursare In 5 ani, dobanda 10%</t>
  </si>
  <si>
    <t>Cerinte</t>
  </si>
  <si>
    <t>c)Estimati valoarea intreprinderii daca k=12%, Valoarea terminala = 2.000.000</t>
  </si>
  <si>
    <t>Element</t>
  </si>
  <si>
    <t>Productia anuala</t>
  </si>
  <si>
    <t>Venituri (Cifra de afaceri)</t>
  </si>
  <si>
    <t xml:space="preserve">   Faina</t>
  </si>
  <si>
    <t xml:space="preserve">   Salarii</t>
  </si>
  <si>
    <t xml:space="preserve">   Energie</t>
  </si>
  <si>
    <t xml:space="preserve">   Alta ch variabile</t>
  </si>
  <si>
    <t>Costuri fixe</t>
  </si>
  <si>
    <t>EBITDA</t>
  </si>
  <si>
    <t>.-cheltuieli cu Amortizarea</t>
  </si>
  <si>
    <t>EBIT</t>
  </si>
  <si>
    <t>Rambursare in rate anuale egale</t>
  </si>
  <si>
    <t>An</t>
  </si>
  <si>
    <t>Principal</t>
  </si>
  <si>
    <t>Dobanda</t>
  </si>
  <si>
    <t>Sold la inceputul anului</t>
  </si>
  <si>
    <t>Sold finalul anului</t>
  </si>
  <si>
    <t>Rata anuala</t>
  </si>
  <si>
    <t>.-Chelt cu dobanda</t>
  </si>
  <si>
    <t>Profit brut</t>
  </si>
  <si>
    <t>Impozit</t>
  </si>
  <si>
    <t>Estimarea cash-flow-urilor disponibile</t>
  </si>
  <si>
    <t>.+Ch dob(1-16%)</t>
  </si>
  <si>
    <t>Durata de rotatie stocurilor = Stocuri / Cifra de afaceri * 360</t>
  </si>
  <si>
    <t>Valoarea intrepriderii</t>
  </si>
  <si>
    <t>2029e</t>
  </si>
  <si>
    <t>2030e</t>
  </si>
  <si>
    <t>a)Estimati venituri, cheltuielile si profitul entitatii in 2026 si 2027</t>
  </si>
  <si>
    <t>b)Estimati CFD in 2026 si 2027</t>
  </si>
  <si>
    <t>4.Taxele locale si restul cheltuielilor se mentin constante cu nivelul din 2025</t>
  </si>
  <si>
    <t xml:space="preserve">5.Societatea va face investitii de 1 mil (finantata din surse proprii) in anul 2026 ceea ce va duce la o crestere a vanzarilor cu 5% din anul urmator. Este vorba de un echipament modern al carei amortizare se realizeaza in 10 ani. </t>
  </si>
  <si>
    <t xml:space="preserve">NFR 2025 = </t>
  </si>
  <si>
    <t>3.Cheltuielile cu salariile cresc cu rata inflatiei de 4% anual si va angaja anual salariati noi cu un venit brut incluzand CAM de 850000</t>
  </si>
  <si>
    <t>cresterea anuala a ven din mf</t>
  </si>
  <si>
    <t>cresterea anuala a ven din serv</t>
  </si>
  <si>
    <t>crestere cu 5% datorata investitiei</t>
  </si>
  <si>
    <t>%ch cu mf din ven mf</t>
  </si>
  <si>
    <t>%ch cu ser din venituri serv</t>
  </si>
  <si>
    <t>%ch cu mk din ven</t>
  </si>
  <si>
    <t>cresterea anuala a ch mk</t>
  </si>
  <si>
    <t>verificare</t>
  </si>
  <si>
    <t>impozitul pe profit / Profit Brut</t>
  </si>
  <si>
    <t>g</t>
  </si>
  <si>
    <t>Valuarea terminala (VT)</t>
  </si>
  <si>
    <t>damodaran</t>
  </si>
  <si>
    <t>Gradul de realizare a productiei: 80% (2026) si 95% (2027)</t>
  </si>
  <si>
    <t>Amortizare cuptor2027</t>
  </si>
  <si>
    <t>VTact</t>
  </si>
  <si>
    <t>VI</t>
  </si>
  <si>
    <t>Suma FNNI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</si>
</sst>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0.000%"/>
  </numFmts>
  <fonts count="20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Times New Roman"/>
      <family val="1"/>
    </font>
    <font>
      <b/>
      <sz val="8"/>
      <color theme="1"/>
      <name val="Arial"/>
      <family val="2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sz val="8"/>
      <color theme="1"/>
      <name val="Arial"/>
      <family val="2"/>
    </font>
    <font>
      <sz val="12"/>
      <color theme="1"/>
      <name val="Times New Roman"/>
      <family val="1"/>
    </font>
    <font>
      <sz val="11"/>
      <color theme="1"/>
      <name val="Arial"/>
      <family val="2"/>
    </font>
    <font>
      <sz val="11"/>
      <color theme="1"/>
      <name val="Calibri"/>
      <family val="2"/>
      <scheme val="minor"/>
    </font>
    <font>
      <b/>
      <sz val="10"/>
      <color rgb="FF000000"/>
      <name val="Times New Roman"/>
      <family val="1"/>
    </font>
    <font>
      <sz val="10"/>
      <color rgb="FF000000"/>
      <name val="Times New Roman"/>
      <family val="1"/>
    </font>
    <font>
      <b/>
      <sz val="10"/>
      <name val="Times New Roman"/>
      <family val="1"/>
    </font>
    <font>
      <b/>
      <sz val="11"/>
      <color theme="1"/>
      <name val="Arial"/>
      <family val="2"/>
    </font>
    <font>
      <b/>
      <sz val="11"/>
      <name val="Arial"/>
      <family val="2"/>
      <charset val="238"/>
    </font>
    <font>
      <b/>
      <sz val="11"/>
      <name val="Calibri"/>
      <family val="2"/>
      <charset val="238"/>
      <scheme val="minor"/>
    </font>
    <font>
      <b/>
      <sz val="11"/>
      <color theme="1"/>
      <name val="Arial"/>
      <family val="2"/>
      <charset val="238"/>
    </font>
    <font>
      <b/>
      <sz val="10"/>
      <color rgb="FFFF0000"/>
      <name val="Times New Roman"/>
      <family val="1"/>
    </font>
    <font>
      <b/>
      <sz val="11"/>
      <color rgb="FFFF0000"/>
      <name val="Calibri"/>
      <family val="2"/>
      <scheme val="minor"/>
    </font>
    <font>
      <sz val="10"/>
      <name val="Times New Roman"/>
      <family val="1"/>
    </font>
  </fonts>
  <fills count="19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14999847407452621"/>
        <bgColor rgb="FFD8D8D8"/>
      </patternFill>
    </fill>
    <fill>
      <patternFill patternType="solid">
        <fgColor rgb="FFD8D8D8"/>
        <bgColor rgb="FFD8D8D8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5" tint="0.59999389629810485"/>
        <bgColor rgb="FFD8D8D8"/>
      </patternFill>
    </fill>
    <fill>
      <patternFill patternType="solid">
        <fgColor rgb="FFD9D9D9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3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0" fontId="9" fillId="0" borderId="0"/>
    <xf numFmtId="0" fontId="8" fillId="0" borderId="0"/>
    <xf numFmtId="0" fontId="9" fillId="0" borderId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</cellStyleXfs>
  <cellXfs count="113">
    <xf numFmtId="0" fontId="0" fillId="0" borderId="0" xfId="0"/>
    <xf numFmtId="0" fontId="2" fillId="0" borderId="0" xfId="0" applyFont="1" applyAlignment="1">
      <alignment horizontal="justify" vertical="center" wrapText="1"/>
    </xf>
    <xf numFmtId="3" fontId="4" fillId="5" borderId="1" xfId="0" applyNumberFormat="1" applyFont="1" applyFill="1" applyBorder="1"/>
    <xf numFmtId="3" fontId="5" fillId="0" borderId="1" xfId="0" applyNumberFormat="1" applyFont="1" applyBorder="1"/>
    <xf numFmtId="3" fontId="4" fillId="0" borderId="1" xfId="0" applyNumberFormat="1" applyFont="1" applyBorder="1"/>
    <xf numFmtId="3" fontId="4" fillId="3" borderId="1" xfId="0" applyNumberFormat="1" applyFont="1" applyFill="1" applyBorder="1"/>
    <xf numFmtId="3" fontId="0" fillId="0" borderId="1" xfId="0" applyNumberFormat="1" applyBorder="1"/>
    <xf numFmtId="3" fontId="1" fillId="2" borderId="1" xfId="0" applyNumberFormat="1" applyFont="1" applyFill="1" applyBorder="1"/>
    <xf numFmtId="0" fontId="7" fillId="0" borderId="0" xfId="0" applyFont="1" applyAlignment="1">
      <alignment horizontal="justify" vertical="center" wrapText="1"/>
    </xf>
    <xf numFmtId="3" fontId="1" fillId="0" borderId="0" xfId="0" applyNumberFormat="1" applyFont="1"/>
    <xf numFmtId="10" fontId="0" fillId="0" borderId="0" xfId="0" applyNumberFormat="1"/>
    <xf numFmtId="0" fontId="8" fillId="0" borderId="1" xfId="0" applyFont="1" applyBorder="1" applyAlignment="1">
      <alignment horizontal="justify" vertical="center" wrapText="1"/>
    </xf>
    <xf numFmtId="0" fontId="8" fillId="2" borderId="1" xfId="0" applyFont="1" applyFill="1" applyBorder="1" applyAlignment="1">
      <alignment horizontal="justify" vertical="center" wrapText="1"/>
    </xf>
    <xf numFmtId="0" fontId="8" fillId="0" borderId="1" xfId="0" applyFont="1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6" xfId="0" applyBorder="1"/>
    <xf numFmtId="0" fontId="0" fillId="0" borderId="5" xfId="0" applyBorder="1"/>
    <xf numFmtId="0" fontId="3" fillId="5" borderId="7" xfId="0" applyFont="1" applyFill="1" applyBorder="1"/>
    <xf numFmtId="0" fontId="3" fillId="0" borderId="7" xfId="0" applyFont="1" applyBorder="1"/>
    <xf numFmtId="0" fontId="3" fillId="3" borderId="7" xfId="0" applyFont="1" applyFill="1" applyBorder="1"/>
    <xf numFmtId="0" fontId="6" fillId="0" borderId="7" xfId="0" applyFont="1" applyBorder="1"/>
    <xf numFmtId="0" fontId="3" fillId="6" borderId="7" xfId="0" applyFont="1" applyFill="1" applyBorder="1"/>
    <xf numFmtId="0" fontId="3" fillId="0" borderId="5" xfId="0" applyFont="1" applyBorder="1"/>
    <xf numFmtId="0" fontId="1" fillId="4" borderId="5" xfId="0" applyFont="1" applyFill="1" applyBorder="1"/>
    <xf numFmtId="0" fontId="0" fillId="4" borderId="0" xfId="0" applyFill="1"/>
    <xf numFmtId="9" fontId="0" fillId="0" borderId="0" xfId="0" applyNumberFormat="1" applyAlignment="1">
      <alignment horizontal="left"/>
    </xf>
    <xf numFmtId="0" fontId="0" fillId="0" borderId="9" xfId="0" applyBorder="1"/>
    <xf numFmtId="0" fontId="0" fillId="0" borderId="10" xfId="0" applyBorder="1"/>
    <xf numFmtId="0" fontId="0" fillId="0" borderId="8" xfId="0" applyBorder="1"/>
    <xf numFmtId="0" fontId="1" fillId="7" borderId="1" xfId="0" applyFont="1" applyFill="1" applyBorder="1"/>
    <xf numFmtId="3" fontId="1" fillId="2" borderId="12" xfId="0" applyNumberFormat="1" applyFont="1" applyFill="1" applyBorder="1"/>
    <xf numFmtId="0" fontId="8" fillId="2" borderId="11" xfId="0" applyFont="1" applyFill="1" applyBorder="1" applyAlignment="1">
      <alignment horizontal="justify" vertical="center" wrapText="1"/>
    </xf>
    <xf numFmtId="0" fontId="8" fillId="7" borderId="15" xfId="0" applyFont="1" applyFill="1" applyBorder="1" applyAlignment="1">
      <alignment horizontal="justify" vertical="center" wrapText="1"/>
    </xf>
    <xf numFmtId="3" fontId="1" fillId="2" borderId="14" xfId="0" applyNumberFormat="1" applyFont="1" applyFill="1" applyBorder="1"/>
    <xf numFmtId="10" fontId="1" fillId="7" borderId="13" xfId="0" applyNumberFormat="1" applyFont="1" applyFill="1" applyBorder="1"/>
    <xf numFmtId="0" fontId="6" fillId="0" borderId="5" xfId="0" applyFont="1" applyBorder="1" applyAlignment="1">
      <alignment horizontal="left"/>
    </xf>
    <xf numFmtId="0" fontId="0" fillId="7" borderId="7" xfId="0" applyFill="1" applyBorder="1"/>
    <xf numFmtId="0" fontId="1" fillId="7" borderId="1" xfId="0" applyFont="1" applyFill="1" applyBorder="1" applyAlignment="1">
      <alignment horizontal="right"/>
    </xf>
    <xf numFmtId="0" fontId="3" fillId="8" borderId="7" xfId="0" applyFont="1" applyFill="1" applyBorder="1"/>
    <xf numFmtId="3" fontId="4" fillId="8" borderId="1" xfId="0" applyNumberFormat="1" applyFont="1" applyFill="1" applyBorder="1"/>
    <xf numFmtId="0" fontId="1" fillId="4" borderId="0" xfId="0" applyFont="1" applyFill="1" applyAlignment="1">
      <alignment horizontal="center"/>
    </xf>
    <xf numFmtId="0" fontId="10" fillId="9" borderId="1" xfId="0" applyFont="1" applyFill="1" applyBorder="1" applyAlignment="1">
      <alignment vertical="center" wrapText="1"/>
    </xf>
    <xf numFmtId="15" fontId="10" fillId="9" borderId="1" xfId="0" applyNumberFormat="1" applyFont="1" applyFill="1" applyBorder="1" applyAlignment="1">
      <alignment horizontal="center" vertical="center" wrapText="1"/>
    </xf>
    <xf numFmtId="0" fontId="10" fillId="0" borderId="1" xfId="0" applyFont="1" applyBorder="1" applyAlignment="1">
      <alignment vertical="center" wrapText="1"/>
    </xf>
    <xf numFmtId="3" fontId="10" fillId="0" borderId="1" xfId="0" applyNumberFormat="1" applyFont="1" applyBorder="1" applyAlignment="1">
      <alignment horizontal="center" vertical="center" wrapText="1"/>
    </xf>
    <xf numFmtId="0" fontId="11" fillId="0" borderId="1" xfId="0" applyFont="1" applyBorder="1" applyAlignment="1">
      <alignment vertical="center" wrapText="1"/>
    </xf>
    <xf numFmtId="3" fontId="11" fillId="0" borderId="1" xfId="0" applyNumberFormat="1" applyFont="1" applyBorder="1" applyAlignment="1">
      <alignment horizontal="center" vertical="center" wrapText="1"/>
    </xf>
    <xf numFmtId="0" fontId="10" fillId="2" borderId="1" xfId="0" applyFont="1" applyFill="1" applyBorder="1" applyAlignment="1">
      <alignment vertical="center" wrapText="1"/>
    </xf>
    <xf numFmtId="3" fontId="10" fillId="2" borderId="1" xfId="0" applyNumberFormat="1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left" vertical="center" wrapText="1"/>
    </xf>
    <xf numFmtId="0" fontId="12" fillId="4" borderId="1" xfId="0" applyFont="1" applyFill="1" applyBorder="1" applyAlignment="1">
      <alignment horizontal="left" vertical="center" wrapText="1"/>
    </xf>
    <xf numFmtId="0" fontId="12" fillId="4" borderId="1" xfId="0" applyFont="1" applyFill="1" applyBorder="1" applyAlignment="1">
      <alignment horizontal="center" vertical="center" wrapText="1"/>
    </xf>
    <xf numFmtId="10" fontId="11" fillId="0" borderId="1" xfId="0" applyNumberFormat="1" applyFont="1" applyBorder="1" applyAlignment="1">
      <alignment vertical="center" wrapText="1"/>
    </xf>
    <xf numFmtId="0" fontId="13" fillId="2" borderId="1" xfId="0" applyFont="1" applyFill="1" applyBorder="1" applyAlignment="1">
      <alignment horizontal="justify" vertical="center" wrapText="1"/>
    </xf>
    <xf numFmtId="3" fontId="0" fillId="0" borderId="0" xfId="0" applyNumberFormat="1"/>
    <xf numFmtId="0" fontId="3" fillId="10" borderId="5" xfId="0" applyFont="1" applyFill="1" applyBorder="1"/>
    <xf numFmtId="3" fontId="4" fillId="10" borderId="0" xfId="0" applyNumberFormat="1" applyFont="1" applyFill="1"/>
    <xf numFmtId="0" fontId="0" fillId="0" borderId="1" xfId="0" applyBorder="1"/>
    <xf numFmtId="10" fontId="0" fillId="0" borderId="1" xfId="0" applyNumberFormat="1" applyBorder="1"/>
    <xf numFmtId="0" fontId="1" fillId="2" borderId="1" xfId="0" applyFont="1" applyFill="1" applyBorder="1"/>
    <xf numFmtId="164" fontId="1" fillId="2" borderId="1" xfId="0" applyNumberFormat="1" applyFont="1" applyFill="1" applyBorder="1"/>
    <xf numFmtId="10" fontId="2" fillId="2" borderId="1" xfId="0" applyNumberFormat="1" applyFont="1" applyFill="1" applyBorder="1"/>
    <xf numFmtId="0" fontId="13" fillId="2" borderId="12" xfId="0" applyFont="1" applyFill="1" applyBorder="1" applyAlignment="1">
      <alignment horizontal="justify" vertical="center" wrapText="1"/>
    </xf>
    <xf numFmtId="0" fontId="4" fillId="0" borderId="5" xfId="0" applyFont="1" applyBorder="1"/>
    <xf numFmtId="0" fontId="1" fillId="0" borderId="1" xfId="0" applyFont="1" applyBorder="1"/>
    <xf numFmtId="0" fontId="1" fillId="0" borderId="1" xfId="0" applyFont="1" applyBorder="1" applyAlignment="1">
      <alignment horizontal="center"/>
    </xf>
    <xf numFmtId="0" fontId="1" fillId="0" borderId="0" xfId="0" applyFont="1"/>
    <xf numFmtId="0" fontId="1" fillId="0" borderId="0" xfId="0" applyFont="1" applyAlignment="1">
      <alignment horizontal="right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right"/>
    </xf>
    <xf numFmtId="10" fontId="4" fillId="0" borderId="0" xfId="0" applyNumberFormat="1" applyFont="1"/>
    <xf numFmtId="0" fontId="0" fillId="11" borderId="0" xfId="0" applyFill="1"/>
    <xf numFmtId="3" fontId="5" fillId="11" borderId="1" xfId="0" applyNumberFormat="1" applyFont="1" applyFill="1" applyBorder="1"/>
    <xf numFmtId="10" fontId="1" fillId="0" borderId="0" xfId="0" applyNumberFormat="1" applyFont="1"/>
    <xf numFmtId="10" fontId="1" fillId="7" borderId="1" xfId="0" applyNumberFormat="1" applyFont="1" applyFill="1" applyBorder="1"/>
    <xf numFmtId="0" fontId="8" fillId="7" borderId="16" xfId="0" applyFont="1" applyFill="1" applyBorder="1" applyAlignment="1">
      <alignment horizontal="justify" vertical="center" wrapText="1"/>
    </xf>
    <xf numFmtId="3" fontId="1" fillId="7" borderId="17" xfId="0" applyNumberFormat="1" applyFont="1" applyFill="1" applyBorder="1"/>
    <xf numFmtId="0" fontId="14" fillId="12" borderId="1" xfId="0" applyFont="1" applyFill="1" applyBorder="1" applyAlignment="1">
      <alignment horizontal="justify" vertical="center" wrapText="1"/>
    </xf>
    <xf numFmtId="3" fontId="15" fillId="12" borderId="1" xfId="0" applyNumberFormat="1" applyFont="1" applyFill="1" applyBorder="1"/>
    <xf numFmtId="0" fontId="16" fillId="2" borderId="1" xfId="0" applyFont="1" applyFill="1" applyBorder="1" applyAlignment="1">
      <alignment horizontal="justify" vertical="center" wrapText="1"/>
    </xf>
    <xf numFmtId="2" fontId="15" fillId="0" borderId="1" xfId="0" applyNumberFormat="1" applyFont="1" applyBorder="1"/>
    <xf numFmtId="0" fontId="1" fillId="12" borderId="0" xfId="0" applyFont="1" applyFill="1"/>
    <xf numFmtId="0" fontId="1" fillId="13" borderId="0" xfId="0" applyFont="1" applyFill="1"/>
    <xf numFmtId="0" fontId="0" fillId="13" borderId="0" xfId="0" applyFill="1"/>
    <xf numFmtId="0" fontId="1" fillId="13" borderId="0" xfId="0" applyFont="1" applyFill="1" applyAlignment="1">
      <alignment horizontal="right"/>
    </xf>
    <xf numFmtId="0" fontId="1" fillId="13" borderId="1" xfId="0" applyFont="1" applyFill="1" applyBorder="1"/>
    <xf numFmtId="0" fontId="1" fillId="14" borderId="1" xfId="0" applyFont="1" applyFill="1" applyBorder="1" applyAlignment="1">
      <alignment horizontal="center"/>
    </xf>
    <xf numFmtId="3" fontId="1" fillId="0" borderId="1" xfId="0" applyNumberFormat="1" applyFont="1" applyBorder="1"/>
    <xf numFmtId="0" fontId="0" fillId="0" borderId="1" xfId="0" applyBorder="1" applyAlignment="1">
      <alignment horizontal="left"/>
    </xf>
    <xf numFmtId="3" fontId="0" fillId="0" borderId="1" xfId="0" applyNumberFormat="1" applyBorder="1" applyAlignment="1">
      <alignment horizontal="right"/>
    </xf>
    <xf numFmtId="0" fontId="1" fillId="0" borderId="1" xfId="0" applyFont="1" applyBorder="1" applyAlignment="1">
      <alignment horizontal="left"/>
    </xf>
    <xf numFmtId="3" fontId="1" fillId="0" borderId="1" xfId="0" applyNumberFormat="1" applyFont="1" applyBorder="1" applyAlignment="1">
      <alignment horizontal="right"/>
    </xf>
    <xf numFmtId="0" fontId="0" fillId="0" borderId="18" xfId="0" applyBorder="1" applyAlignment="1">
      <alignment horizontal="right"/>
    </xf>
    <xf numFmtId="0" fontId="1" fillId="15" borderId="1" xfId="0" applyFont="1" applyFill="1" applyBorder="1"/>
    <xf numFmtId="3" fontId="1" fillId="15" borderId="1" xfId="0" applyNumberFormat="1" applyFont="1" applyFill="1" applyBorder="1"/>
    <xf numFmtId="0" fontId="1" fillId="4" borderId="5" xfId="0" applyFont="1" applyFill="1" applyBorder="1" applyAlignment="1">
      <alignment horizontal="center"/>
    </xf>
    <xf numFmtId="0" fontId="1" fillId="4" borderId="0" xfId="0" applyFont="1" applyFill="1" applyAlignment="1">
      <alignment horizontal="center"/>
    </xf>
    <xf numFmtId="0" fontId="1" fillId="7" borderId="1" xfId="0" applyFont="1" applyFill="1" applyBorder="1" applyAlignment="1">
      <alignment horizontal="center" wrapText="1"/>
    </xf>
    <xf numFmtId="10" fontId="17" fillId="0" borderId="1" xfId="0" applyNumberFormat="1" applyFont="1" applyBorder="1" applyAlignment="1">
      <alignment vertical="center" wrapText="1"/>
    </xf>
    <xf numFmtId="10" fontId="18" fillId="0" borderId="1" xfId="0" applyNumberFormat="1" applyFont="1" applyBorder="1"/>
    <xf numFmtId="0" fontId="0" fillId="2" borderId="0" xfId="0" applyFill="1"/>
    <xf numFmtId="10" fontId="11" fillId="2" borderId="1" xfId="0" applyNumberFormat="1" applyFont="1" applyFill="1" applyBorder="1" applyAlignment="1">
      <alignment vertical="center" wrapText="1"/>
    </xf>
    <xf numFmtId="0" fontId="4" fillId="16" borderId="5" xfId="0" applyFont="1" applyFill="1" applyBorder="1"/>
    <xf numFmtId="0" fontId="0" fillId="16" borderId="0" xfId="0" applyFill="1"/>
    <xf numFmtId="10" fontId="19" fillId="0" borderId="1" xfId="0" applyNumberFormat="1" applyFont="1" applyFill="1" applyBorder="1" applyAlignment="1">
      <alignment vertical="center" wrapText="1"/>
    </xf>
    <xf numFmtId="10" fontId="0" fillId="17" borderId="1" xfId="0" applyNumberFormat="1" applyFill="1" applyBorder="1"/>
    <xf numFmtId="2" fontId="0" fillId="17" borderId="1" xfId="0" applyNumberFormat="1" applyFill="1" applyBorder="1"/>
    <xf numFmtId="10" fontId="7" fillId="17" borderId="0" xfId="0" applyNumberFormat="1" applyFont="1" applyFill="1"/>
    <xf numFmtId="0" fontId="0" fillId="18" borderId="1" xfId="0" applyFill="1" applyBorder="1"/>
    <xf numFmtId="0" fontId="0" fillId="18" borderId="1" xfId="0" applyFill="1" applyBorder="1" applyAlignment="1">
      <alignment horizontal="right"/>
    </xf>
    <xf numFmtId="38" fontId="0" fillId="0" borderId="0" xfId="0" applyNumberFormat="1"/>
  </cellXfs>
  <cellStyles count="7">
    <cellStyle name="Comma 21 2" xfId="6" xr:uid="{00000000-0005-0000-0000-000000000000}"/>
    <cellStyle name="Normal" xfId="0" builtinId="0"/>
    <cellStyle name="Normal 2" xfId="2" xr:uid="{00000000-0005-0000-0000-000002000000}"/>
    <cellStyle name="Normal 3" xfId="1" xr:uid="{00000000-0005-0000-0000-000003000000}"/>
    <cellStyle name="Normal 33 2 2" xfId="3" xr:uid="{00000000-0005-0000-0000-000004000000}"/>
    <cellStyle name="Normal 4" xfId="5" xr:uid="{00000000-0005-0000-0000-000005000000}"/>
    <cellStyle name="Percent 3" xfId="4" xr:uid="{00000000-0005-0000-0000-000006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wmf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w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13</xdr:col>
          <xdr:colOff>68140</xdr:colOff>
          <xdr:row>33</xdr:row>
          <xdr:rowOff>18317</xdr:rowOff>
        </xdr:from>
        <xdr:to>
          <xdr:col>19</xdr:col>
          <xdr:colOff>220540</xdr:colOff>
          <xdr:row>36</xdr:row>
          <xdr:rowOff>94517</xdr:rowOff>
        </xdr:to>
        <xdr:sp macro="" textlink="">
          <xdr:nvSpPr>
            <xdr:cNvPr id="2049" name="Object 1" hidden="1">
              <a:extLst>
                <a:ext uri="{63B3BB69-23CF-44E3-9099-C40C66FF867C}">
                  <a14:compatExt spid="_x0000_s2049"/>
                </a:ext>
                <a:ext uri="{FF2B5EF4-FFF2-40B4-BE49-F238E27FC236}">
                  <a16:creationId xmlns:a16="http://schemas.microsoft.com/office/drawing/2014/main" id="{00000000-0008-0000-0000-000001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xdr:twoCellAnchor>
    <xdr:from>
      <xdr:col>0</xdr:col>
      <xdr:colOff>117662</xdr:colOff>
      <xdr:row>39</xdr:row>
      <xdr:rowOff>110859</xdr:rowOff>
    </xdr:from>
    <xdr:to>
      <xdr:col>6</xdr:col>
      <xdr:colOff>645272</xdr:colOff>
      <xdr:row>41</xdr:row>
      <xdr:rowOff>97999</xdr:rowOff>
    </xdr:to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4" name="Rectangle 3">
              <a:extLst>
                <a:ext uri="{FF2B5EF4-FFF2-40B4-BE49-F238E27FC236}">
                  <a16:creationId xmlns:a16="http://schemas.microsoft.com/office/drawing/2014/main" id="{00000000-0008-0000-0000-000004000000}"/>
                </a:ext>
              </a:extLst>
            </xdr:cNvPr>
            <xdr:cNvSpPr/>
          </xdr:nvSpPr>
          <xdr:spPr>
            <a:xfrm>
              <a:off x="117662" y="7798895"/>
              <a:ext cx="7215521" cy="368140"/>
            </a:xfrm>
            <a:prstGeom prst="rect">
              <a:avLst/>
            </a:prstGeom>
          </xdr:spPr>
          <xdr:txBody>
            <a:bodyPr wrap="square">
              <a:spAutoFit/>
            </a:bodyPr>
            <a:lstStyle>
              <a:defPPr>
                <a:defRPr lang="en-GB"/>
              </a:defPPr>
              <a:lvl1pPr algn="l" rtl="0" eaLnBrk="0" fontAlgn="base" hangingPunct="0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tx1"/>
                  </a:solidFill>
                  <a:latin typeface="Calibri" panose="020F0502020204030204" pitchFamily="34" charset="0"/>
                  <a:ea typeface="+mn-ea"/>
                  <a:cs typeface="+mn-cs"/>
                </a:defRPr>
              </a:lvl1pPr>
              <a:lvl2pPr marL="457200" algn="l" rtl="0" eaLnBrk="0" fontAlgn="base" hangingPunct="0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tx1"/>
                  </a:solidFill>
                  <a:latin typeface="Calibri" panose="020F0502020204030204" pitchFamily="34" charset="0"/>
                  <a:ea typeface="+mn-ea"/>
                  <a:cs typeface="+mn-cs"/>
                </a:defRPr>
              </a:lvl2pPr>
              <a:lvl3pPr marL="914400" algn="l" rtl="0" eaLnBrk="0" fontAlgn="base" hangingPunct="0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tx1"/>
                  </a:solidFill>
                  <a:latin typeface="Calibri" panose="020F0502020204030204" pitchFamily="34" charset="0"/>
                  <a:ea typeface="+mn-ea"/>
                  <a:cs typeface="+mn-cs"/>
                </a:defRPr>
              </a:lvl3pPr>
              <a:lvl4pPr marL="1371600" algn="l" rtl="0" eaLnBrk="0" fontAlgn="base" hangingPunct="0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tx1"/>
                  </a:solidFill>
                  <a:latin typeface="Calibri" panose="020F0502020204030204" pitchFamily="34" charset="0"/>
                  <a:ea typeface="+mn-ea"/>
                  <a:cs typeface="+mn-cs"/>
                </a:defRPr>
              </a:lvl4pPr>
              <a:lvl5pPr marL="1828800" algn="l" rtl="0" eaLnBrk="0" fontAlgn="base" hangingPunct="0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tx1"/>
                  </a:solidFill>
                  <a:latin typeface="Calibri" panose="020F0502020204030204" pitchFamily="34" charset="0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kern="1200">
                  <a:solidFill>
                    <a:schemeClr val="tx1"/>
                  </a:solidFill>
                  <a:latin typeface="Calibri" panose="020F0502020204030204" pitchFamily="34" charset="0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kern="1200">
                  <a:solidFill>
                    <a:schemeClr val="tx1"/>
                  </a:solidFill>
                  <a:latin typeface="Calibri" panose="020F0502020204030204" pitchFamily="34" charset="0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kern="1200">
                  <a:solidFill>
                    <a:schemeClr val="tx1"/>
                  </a:solidFill>
                  <a:latin typeface="Calibri" panose="020F0502020204030204" pitchFamily="34" charset="0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kern="1200">
                  <a:solidFill>
                    <a:schemeClr val="tx1"/>
                  </a:solidFill>
                  <a:latin typeface="Calibri" panose="020F0502020204030204" pitchFamily="34" charset="0"/>
                  <a:ea typeface="+mn-ea"/>
                  <a:cs typeface="+mn-cs"/>
                </a:defRPr>
              </a:lvl9pPr>
            </a:lstStyle>
            <a:p>
              <a:pPr/>
              <a14:m>
                <m:oMathPara xmlns:m="http://schemas.openxmlformats.org/officeDocument/2006/math">
                  <m:oMath>
                    <m:r>
                      <m:rPr>
                        <m:nor/>
                      </m:rPr>
                      <a:rPr lang="en-GB" i="0"/>
                      <m:t>FNNI </m:t>
                    </m:r>
                    <m:d>
                      <m:dPr>
                        <m:ctrlPr>
                          <a:rPr lang="ro-RO" i="1">
                            <a:solidFill>
                              <a:srgbClr val="000000"/>
                            </a:solidFill>
                            <a:latin typeface="Cambria Math" panose="02040503050406030204" pitchFamily="18" charset="0"/>
                            <a:ea typeface="Arial Unicode MS" panose="020B0604020202020204" pitchFamily="34" charset="-128"/>
                            <a:cs typeface="Times New Roman" panose="02020603050405020304" pitchFamily="18" charset="0"/>
                          </a:rPr>
                        </m:ctrlPr>
                      </m:dPr>
                      <m:e>
                        <m:r>
                          <a:rPr lang="ro-RO" i="1">
                            <a:solidFill>
                              <a:srgbClr val="000000"/>
                            </a:solidFill>
                            <a:latin typeface="Cambria Math" panose="02040503050406030204" pitchFamily="18" charset="0"/>
                            <a:ea typeface="Arial Unicode MS" panose="020B0604020202020204" pitchFamily="34" charset="-128"/>
                            <a:cs typeface="Times New Roman" panose="02020603050405020304" pitchFamily="18" charset="0"/>
                          </a:rPr>
                          <m:t>𝐶𝐹𝐷</m:t>
                        </m:r>
                      </m:e>
                    </m:d>
                    <m:r>
                      <a:rPr lang="ro-RO" i="1">
                        <a:solidFill>
                          <a:srgbClr val="000000"/>
                        </a:solidFill>
                        <a:latin typeface="Cambria Math" panose="02040503050406030204" pitchFamily="18" charset="0"/>
                        <a:ea typeface="Arial Unicode MS" panose="020B0604020202020204" pitchFamily="34" charset="-128"/>
                        <a:cs typeface="Times New Roman" panose="02020603050405020304" pitchFamily="18" charset="0"/>
                      </a:rPr>
                      <m:t>=</m:t>
                    </m:r>
                    <m:r>
                      <a:rPr lang="en-US" i="1">
                        <a:latin typeface="Cambria Math" panose="02040503050406030204" pitchFamily="18" charset="0"/>
                      </a:rPr>
                      <m:t>𝑃</m:t>
                    </m:r>
                    <m:r>
                      <a:rPr lang="en-US" b="0" i="1">
                        <a:latin typeface="Cambria Math" panose="02040503050406030204" pitchFamily="18" charset="0"/>
                      </a:rPr>
                      <m:t>𝑁</m:t>
                    </m:r>
                    <m:r>
                      <a:rPr lang="en-US" b="0" i="1">
                        <a:latin typeface="Cambria Math" panose="02040503050406030204" pitchFamily="18" charset="0"/>
                      </a:rPr>
                      <m:t>+</m:t>
                    </m:r>
                    <m:r>
                      <a:rPr lang="en-US" b="0" i="1">
                        <a:latin typeface="Cambria Math" panose="02040503050406030204" pitchFamily="18" charset="0"/>
                      </a:rPr>
                      <m:t>𝐶ℎ</m:t>
                    </m:r>
                    <m:r>
                      <a:rPr lang="en-US" b="0" i="1">
                        <a:latin typeface="Cambria Math" panose="02040503050406030204" pitchFamily="18" charset="0"/>
                      </a:rPr>
                      <m:t> </m:t>
                    </m:r>
                    <m:r>
                      <a:rPr lang="en-US" b="0" i="1">
                        <a:latin typeface="Cambria Math" panose="02040503050406030204" pitchFamily="18" charset="0"/>
                      </a:rPr>
                      <m:t>𝑑𝑜𝑏</m:t>
                    </m:r>
                    <m:r>
                      <a:rPr lang="en-US" b="0" i="1">
                        <a:latin typeface="Cambria Math" panose="02040503050406030204" pitchFamily="18" charset="0"/>
                      </a:rPr>
                      <m:t> (1−16%)+</m:t>
                    </m:r>
                    <m:r>
                      <a:rPr lang="en-US" sz="1800" b="0" i="1">
                        <a:solidFill>
                          <a:srgbClr val="000000"/>
                        </a:solidFill>
                        <a:effectLst/>
                        <a:latin typeface="Cambria Math" panose="02040503050406030204" pitchFamily="18" charset="0"/>
                        <a:ea typeface="Arial Unicode MS" panose="020B0604020202020204" pitchFamily="34" charset="-128"/>
                        <a:cs typeface="Times New Roman" panose="02020603050405020304" pitchFamily="18" charset="0"/>
                      </a:rPr>
                      <m:t>𝐶ℎ</m:t>
                    </m:r>
                    <m:r>
                      <a:rPr lang="en-US" sz="1800" b="0" i="1">
                        <a:solidFill>
                          <a:srgbClr val="000000"/>
                        </a:solidFill>
                        <a:effectLst/>
                        <a:latin typeface="Cambria Math" panose="02040503050406030204" pitchFamily="18" charset="0"/>
                        <a:ea typeface="Arial Unicode MS" panose="020B0604020202020204" pitchFamily="34" charset="-128"/>
                        <a:cs typeface="Times New Roman" panose="02020603050405020304" pitchFamily="18" charset="0"/>
                      </a:rPr>
                      <m:t> </m:t>
                    </m:r>
                    <m:r>
                      <a:rPr lang="ro-RO" sz="1800" b="0" i="1">
                        <a:solidFill>
                          <a:srgbClr val="000000"/>
                        </a:solidFill>
                        <a:effectLst/>
                        <a:latin typeface="Cambria Math" panose="02040503050406030204" pitchFamily="18" charset="0"/>
                        <a:ea typeface="Arial Unicode MS" panose="020B0604020202020204" pitchFamily="34" charset="-128"/>
                        <a:cs typeface="Times New Roman" panose="02020603050405020304" pitchFamily="18" charset="0"/>
                      </a:rPr>
                      <m:t>𝐴𝑚𝑜𝑟𝑡𝑖𝑧𝑎𝑟𝑒</m:t>
                    </m:r>
                    <m:r>
                      <a:rPr lang="ro-RO" sz="1800" b="0" i="1">
                        <a:solidFill>
                          <a:srgbClr val="000000"/>
                        </a:solidFill>
                        <a:effectLst/>
                        <a:latin typeface="Cambria Math" panose="02040503050406030204" pitchFamily="18" charset="0"/>
                        <a:ea typeface="Arial Unicode MS" panose="020B0604020202020204" pitchFamily="34" charset="-128"/>
                        <a:cs typeface="Times New Roman" panose="02020603050405020304" pitchFamily="18" charset="0"/>
                      </a:rPr>
                      <m:t> (±) ∆</m:t>
                    </m:r>
                    <m:r>
                      <a:rPr lang="ro-RO" sz="1800" i="1">
                        <a:solidFill>
                          <a:srgbClr val="000000"/>
                        </a:solidFill>
                        <a:effectLst/>
                        <a:latin typeface="Cambria Math" panose="02040503050406030204" pitchFamily="18" charset="0"/>
                        <a:ea typeface="Arial Unicode MS" panose="020B0604020202020204" pitchFamily="34" charset="-128"/>
                        <a:cs typeface="Times New Roman" panose="02020603050405020304" pitchFamily="18" charset="0"/>
                      </a:rPr>
                      <m:t>𝑁𝐹𝑅</m:t>
                    </m:r>
                    <m:r>
                      <a:rPr lang="ro-RO" sz="1800" i="1">
                        <a:solidFill>
                          <a:srgbClr val="000000"/>
                        </a:solidFill>
                        <a:effectLst/>
                        <a:latin typeface="Cambria Math" panose="02040503050406030204" pitchFamily="18" charset="0"/>
                        <a:ea typeface="Arial Unicode MS" panose="020B0604020202020204" pitchFamily="34" charset="-128"/>
                        <a:cs typeface="Times New Roman" panose="02020603050405020304" pitchFamily="18" charset="0"/>
                      </a:rPr>
                      <m:t> −</m:t>
                    </m:r>
                    <m:r>
                      <a:rPr lang="ro-RO" sz="1800" i="1">
                        <a:solidFill>
                          <a:srgbClr val="000000"/>
                        </a:solidFill>
                        <a:effectLst/>
                        <a:latin typeface="Cambria Math" panose="02040503050406030204" pitchFamily="18" charset="0"/>
                        <a:ea typeface="Arial Unicode MS" panose="020B0604020202020204" pitchFamily="34" charset="-128"/>
                        <a:cs typeface="Times New Roman" panose="02020603050405020304" pitchFamily="18" charset="0"/>
                      </a:rPr>
                      <m:t>𝐶𝐴𝑃𝐸𝑋</m:t>
                    </m:r>
                  </m:oMath>
                </m:oMathPara>
              </a14:m>
              <a:endParaRPr lang="en-GB" sz="1600">
                <a:solidFill>
                  <a:srgbClr val="000000"/>
                </a:solidFill>
                <a:effectLst/>
                <a:latin typeface="Helvetica" panose="020B0604020202020204" pitchFamily="34" charset="0"/>
                <a:ea typeface="Arial Unicode MS" panose="020B0604020202020204" pitchFamily="34" charset="-128"/>
                <a:cs typeface="Arial Unicode MS" panose="020B0604020202020204" pitchFamily="34" charset="-128"/>
              </a:endParaRPr>
            </a:p>
          </xdr:txBody>
        </xdr:sp>
      </mc:Choice>
      <mc:Fallback xmlns="">
        <xdr:sp macro="" textlink="">
          <xdr:nvSpPr>
            <xdr:cNvPr id="4" name="Rectangle 3">
              <a:extLst>
                <a:ext uri="{FF2B5EF4-FFF2-40B4-BE49-F238E27FC236}">
                  <a16:creationId xmlns:a16="http://schemas.microsoft.com/office/drawing/2014/main" id="{00000000-0008-0000-0000-000004000000}"/>
                </a:ext>
              </a:extLst>
            </xdr:cNvPr>
            <xdr:cNvSpPr/>
          </xdr:nvSpPr>
          <xdr:spPr>
            <a:xfrm>
              <a:off x="117662" y="7798895"/>
              <a:ext cx="7215521" cy="368140"/>
            </a:xfrm>
            <a:prstGeom prst="rect">
              <a:avLst/>
            </a:prstGeom>
          </xdr:spPr>
          <xdr:txBody>
            <a:bodyPr wrap="square">
              <a:spAutoFit/>
            </a:bodyPr>
            <a:lstStyle>
              <a:defPPr>
                <a:defRPr lang="en-GB"/>
              </a:defPPr>
              <a:lvl1pPr algn="l" rtl="0" eaLnBrk="0" fontAlgn="base" hangingPunct="0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tx1"/>
                  </a:solidFill>
                  <a:latin typeface="Calibri" panose="020F0502020204030204" pitchFamily="34" charset="0"/>
                  <a:ea typeface="+mn-ea"/>
                  <a:cs typeface="+mn-cs"/>
                </a:defRPr>
              </a:lvl1pPr>
              <a:lvl2pPr marL="457200" algn="l" rtl="0" eaLnBrk="0" fontAlgn="base" hangingPunct="0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tx1"/>
                  </a:solidFill>
                  <a:latin typeface="Calibri" panose="020F0502020204030204" pitchFamily="34" charset="0"/>
                  <a:ea typeface="+mn-ea"/>
                  <a:cs typeface="+mn-cs"/>
                </a:defRPr>
              </a:lvl2pPr>
              <a:lvl3pPr marL="914400" algn="l" rtl="0" eaLnBrk="0" fontAlgn="base" hangingPunct="0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tx1"/>
                  </a:solidFill>
                  <a:latin typeface="Calibri" panose="020F0502020204030204" pitchFamily="34" charset="0"/>
                  <a:ea typeface="+mn-ea"/>
                  <a:cs typeface="+mn-cs"/>
                </a:defRPr>
              </a:lvl3pPr>
              <a:lvl4pPr marL="1371600" algn="l" rtl="0" eaLnBrk="0" fontAlgn="base" hangingPunct="0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tx1"/>
                  </a:solidFill>
                  <a:latin typeface="Calibri" panose="020F0502020204030204" pitchFamily="34" charset="0"/>
                  <a:ea typeface="+mn-ea"/>
                  <a:cs typeface="+mn-cs"/>
                </a:defRPr>
              </a:lvl4pPr>
              <a:lvl5pPr marL="1828800" algn="l" rtl="0" eaLnBrk="0" fontAlgn="base" hangingPunct="0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tx1"/>
                  </a:solidFill>
                  <a:latin typeface="Calibri" panose="020F0502020204030204" pitchFamily="34" charset="0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kern="1200">
                  <a:solidFill>
                    <a:schemeClr val="tx1"/>
                  </a:solidFill>
                  <a:latin typeface="Calibri" panose="020F0502020204030204" pitchFamily="34" charset="0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kern="1200">
                  <a:solidFill>
                    <a:schemeClr val="tx1"/>
                  </a:solidFill>
                  <a:latin typeface="Calibri" panose="020F0502020204030204" pitchFamily="34" charset="0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kern="1200">
                  <a:solidFill>
                    <a:schemeClr val="tx1"/>
                  </a:solidFill>
                  <a:latin typeface="Calibri" panose="020F0502020204030204" pitchFamily="34" charset="0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kern="1200">
                  <a:solidFill>
                    <a:schemeClr val="tx1"/>
                  </a:solidFill>
                  <a:latin typeface="Calibri" panose="020F0502020204030204" pitchFamily="34" charset="0"/>
                  <a:ea typeface="+mn-ea"/>
                  <a:cs typeface="+mn-cs"/>
                </a:defRPr>
              </a:lvl9pPr>
            </a:lstStyle>
            <a:p>
              <a:pPr/>
              <a:r>
                <a:rPr lang="en-GB" i="0">
                  <a:latin typeface="Cambria Math" panose="02040503050406030204" pitchFamily="18" charset="0"/>
                </a:rPr>
                <a:t>"FNNI </a:t>
              </a:r>
              <a:r>
                <a:rPr lang="ro-RO" b="0" i="0">
                  <a:latin typeface="Cambria Math" panose="02040503050406030204" pitchFamily="18" charset="0"/>
                </a:rPr>
                <a:t>" (</a:t>
              </a:r>
              <a:r>
                <a:rPr lang="ro-RO" i="0">
                  <a:solidFill>
                    <a:srgbClr val="000000"/>
                  </a:solidFill>
                  <a:latin typeface="Cambria Math" panose="02040503050406030204" pitchFamily="18" charset="0"/>
                  <a:ea typeface="Arial Unicode MS" panose="020B0604020202020204" pitchFamily="34" charset="-128"/>
                  <a:cs typeface="Times New Roman" panose="02020603050405020304" pitchFamily="18" charset="0"/>
                </a:rPr>
                <a:t>𝐶𝐹𝐷)=</a:t>
              </a:r>
              <a:r>
                <a:rPr lang="en-US" i="0">
                  <a:latin typeface="Cambria Math" panose="02040503050406030204" pitchFamily="18" charset="0"/>
                </a:rPr>
                <a:t>𝑃</a:t>
              </a:r>
              <a:r>
                <a:rPr lang="en-US" b="0" i="0">
                  <a:latin typeface="Cambria Math" panose="02040503050406030204" pitchFamily="18" charset="0"/>
                </a:rPr>
                <a:t>𝑁+𝐶ℎ 𝑑𝑜𝑏 (1−16%)+</a:t>
              </a:r>
              <a:r>
                <a:rPr lang="en-US" sz="1800" b="0" i="0">
                  <a:solidFill>
                    <a:srgbClr val="000000"/>
                  </a:solidFill>
                  <a:effectLst/>
                  <a:latin typeface="Cambria Math" panose="02040503050406030204" pitchFamily="18" charset="0"/>
                  <a:ea typeface="Arial Unicode MS" panose="020B0604020202020204" pitchFamily="34" charset="-128"/>
                  <a:cs typeface="Times New Roman" panose="02020603050405020304" pitchFamily="18" charset="0"/>
                </a:rPr>
                <a:t>𝐶ℎ </a:t>
              </a:r>
              <a:r>
                <a:rPr lang="ro-RO" sz="1800" b="0" i="0">
                  <a:solidFill>
                    <a:srgbClr val="000000"/>
                  </a:solidFill>
                  <a:effectLst/>
                  <a:latin typeface="Cambria Math" panose="02040503050406030204" pitchFamily="18" charset="0"/>
                  <a:ea typeface="Arial Unicode MS" panose="020B0604020202020204" pitchFamily="34" charset="-128"/>
                  <a:cs typeface="Times New Roman" panose="02020603050405020304" pitchFamily="18" charset="0"/>
                </a:rPr>
                <a:t>𝐴𝑚𝑜𝑟𝑡𝑖𝑧𝑎𝑟𝑒 (±) ∆</a:t>
              </a:r>
              <a:r>
                <a:rPr lang="ro-RO" sz="1800" i="0">
                  <a:solidFill>
                    <a:srgbClr val="000000"/>
                  </a:solidFill>
                  <a:effectLst/>
                  <a:latin typeface="Cambria Math" panose="02040503050406030204" pitchFamily="18" charset="0"/>
                  <a:ea typeface="Arial Unicode MS" panose="020B0604020202020204" pitchFamily="34" charset="-128"/>
                  <a:cs typeface="Times New Roman" panose="02020603050405020304" pitchFamily="18" charset="0"/>
                </a:rPr>
                <a:t>𝑁𝐹𝑅 −𝐶𝐴𝑃𝐸𝑋</a:t>
              </a:r>
              <a:endParaRPr lang="en-GB" sz="1600">
                <a:solidFill>
                  <a:srgbClr val="000000"/>
                </a:solidFill>
                <a:effectLst/>
                <a:latin typeface="Helvetica" panose="020B0604020202020204" pitchFamily="34" charset="0"/>
                <a:ea typeface="Arial Unicode MS" panose="020B0604020202020204" pitchFamily="34" charset="-128"/>
                <a:cs typeface="Arial Unicode MS" panose="020B0604020202020204" pitchFamily="34" charset="-128"/>
              </a:endParaRPr>
            </a:p>
          </xdr:txBody>
        </xdr:sp>
      </mc:Fallback>
    </mc:AlternateContent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66675</xdr:colOff>
          <xdr:row>36</xdr:row>
          <xdr:rowOff>161925</xdr:rowOff>
        </xdr:from>
        <xdr:to>
          <xdr:col>9</xdr:col>
          <xdr:colOff>0</xdr:colOff>
          <xdr:row>40</xdr:row>
          <xdr:rowOff>66675</xdr:rowOff>
        </xdr:to>
        <xdr:sp macro="" textlink="">
          <xdr:nvSpPr>
            <xdr:cNvPr id="3073" name="Object 1" hidden="1">
              <a:extLst>
                <a:ext uri="{63B3BB69-23CF-44E3-9099-C40C66FF867C}">
                  <a14:compatExt spid="_x0000_s3073"/>
                </a:ext>
                <a:ext uri="{FF2B5EF4-FFF2-40B4-BE49-F238E27FC236}">
                  <a16:creationId xmlns:a16="http://schemas.microsoft.com/office/drawing/2014/main" id="{00000000-0008-0000-0100-000001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image" Target="../media/image1.wmf"/><Relationship Id="rId4" Type="http://schemas.openxmlformats.org/officeDocument/2006/relationships/oleObject" Target="../embeddings/oleObject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Relationship Id="rId5" Type="http://schemas.openxmlformats.org/officeDocument/2006/relationships/image" Target="../media/image1.wmf"/><Relationship Id="rId4" Type="http://schemas.openxmlformats.org/officeDocument/2006/relationships/oleObject" Target="../embeddings/oleObject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R101"/>
  <sheetViews>
    <sheetView topLeftCell="F29" zoomScale="130" zoomScaleNormal="130" zoomScaleSheetLayoutView="136" workbookViewId="0">
      <selection activeCell="L36" sqref="L36"/>
    </sheetView>
  </sheetViews>
  <sheetFormatPr defaultRowHeight="15" x14ac:dyDescent="0.25"/>
  <cols>
    <col min="1" max="1" width="39.5703125" customWidth="1"/>
    <col min="2" max="10" width="12.140625" customWidth="1"/>
    <col min="11" max="11" width="11.7109375" customWidth="1"/>
    <col min="12" max="12" width="39.140625" bestFit="1" customWidth="1"/>
    <col min="13" max="13" width="12.7109375" customWidth="1"/>
    <col min="14" max="17" width="11.7109375" customWidth="1"/>
  </cols>
  <sheetData>
    <row r="1" spans="1:18" ht="16.5" thickBot="1" x14ac:dyDescent="0.3">
      <c r="A1" s="1" t="s">
        <v>28</v>
      </c>
    </row>
    <row r="2" spans="1:18" x14ac:dyDescent="0.25">
      <c r="A2" s="14"/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6"/>
    </row>
    <row r="3" spans="1:18" x14ac:dyDescent="0.25">
      <c r="A3" s="97" t="s">
        <v>7</v>
      </c>
      <c r="B3" s="98"/>
      <c r="C3" s="98"/>
      <c r="D3" s="98"/>
      <c r="E3" s="98"/>
      <c r="F3" s="98"/>
      <c r="G3" s="98"/>
      <c r="H3" s="98"/>
      <c r="I3" s="98"/>
      <c r="J3" s="42"/>
      <c r="M3" t="s">
        <v>73</v>
      </c>
      <c r="N3" t="s">
        <v>74</v>
      </c>
      <c r="R3" s="17"/>
    </row>
    <row r="4" spans="1:18" x14ac:dyDescent="0.25">
      <c r="A4" s="18"/>
      <c r="R4" s="17"/>
    </row>
    <row r="5" spans="1:18" ht="30.75" customHeight="1" x14ac:dyDescent="0.25">
      <c r="A5" s="38"/>
      <c r="B5" s="31">
        <v>2022</v>
      </c>
      <c r="C5" s="31">
        <v>2023</v>
      </c>
      <c r="D5" s="31">
        <v>2024</v>
      </c>
      <c r="E5" s="31">
        <v>2025</v>
      </c>
      <c r="F5" s="39" t="s">
        <v>66</v>
      </c>
      <c r="G5" s="39" t="s">
        <v>67</v>
      </c>
      <c r="H5" s="39" t="s">
        <v>77</v>
      </c>
      <c r="I5" s="39" t="s">
        <v>161</v>
      </c>
      <c r="J5" s="39" t="s">
        <v>162</v>
      </c>
      <c r="L5" s="99" t="s">
        <v>30</v>
      </c>
      <c r="M5" s="99"/>
      <c r="R5" s="17"/>
    </row>
    <row r="6" spans="1:18" ht="15.75" x14ac:dyDescent="0.25">
      <c r="A6" s="19" t="s">
        <v>8</v>
      </c>
      <c r="B6" s="2">
        <f>B7+B8</f>
        <v>18042000</v>
      </c>
      <c r="C6" s="2">
        <f t="shared" ref="C6:J6" si="0">C7+C8</f>
        <v>20433000</v>
      </c>
      <c r="D6" s="2">
        <f t="shared" si="0"/>
        <v>23239000</v>
      </c>
      <c r="E6" s="2">
        <f t="shared" si="0"/>
        <v>26412000</v>
      </c>
      <c r="F6" s="2">
        <f t="shared" si="0"/>
        <v>30003057.09800116</v>
      </c>
      <c r="G6" s="2">
        <f t="shared" si="0"/>
        <v>35590508.655148253</v>
      </c>
      <c r="H6" s="2">
        <f t="shared" si="0"/>
        <v>40448426.603286713</v>
      </c>
      <c r="I6" s="2">
        <f t="shared" si="0"/>
        <v>45981056.711969294</v>
      </c>
      <c r="J6" s="2">
        <f t="shared" si="0"/>
        <v>52284194.350894816</v>
      </c>
      <c r="L6" s="61" t="s">
        <v>31</v>
      </c>
      <c r="M6" s="63">
        <f>M7+M8*M9</f>
        <v>0.18880000000000002</v>
      </c>
      <c r="R6" s="17"/>
    </row>
    <row r="7" spans="1:18" x14ac:dyDescent="0.25">
      <c r="A7" s="22" t="s">
        <v>9</v>
      </c>
      <c r="B7" s="3">
        <v>16459000</v>
      </c>
      <c r="C7" s="3">
        <v>18568000</v>
      </c>
      <c r="D7" s="3">
        <v>21025000</v>
      </c>
      <c r="E7" s="3">
        <v>23758000</v>
      </c>
      <c r="F7" s="3">
        <v>26850096.733586587</v>
      </c>
      <c r="G7" s="3">
        <v>31687133.787052136</v>
      </c>
      <c r="H7" s="3">
        <v>35811204.95801203</v>
      </c>
      <c r="I7" s="3">
        <v>40472022.782596119</v>
      </c>
      <c r="J7" s="3">
        <v>45739444.680386648</v>
      </c>
      <c r="L7" s="59" t="s">
        <v>68</v>
      </c>
      <c r="M7" s="107">
        <v>6.6400000000000001E-2</v>
      </c>
      <c r="N7" t="s">
        <v>180</v>
      </c>
      <c r="R7" s="17"/>
    </row>
    <row r="8" spans="1:18" x14ac:dyDescent="0.25">
      <c r="A8" s="22" t="s">
        <v>35</v>
      </c>
      <c r="B8" s="3">
        <v>1583000</v>
      </c>
      <c r="C8" s="3">
        <v>1865000</v>
      </c>
      <c r="D8" s="3">
        <v>2214000</v>
      </c>
      <c r="E8" s="3">
        <v>2654000</v>
      </c>
      <c r="F8" s="3">
        <v>3152960.3644145723</v>
      </c>
      <c r="G8" s="3">
        <v>3903374.8680961137</v>
      </c>
      <c r="H8" s="3">
        <v>4637221.645274682</v>
      </c>
      <c r="I8" s="3">
        <v>5509033.929373174</v>
      </c>
      <c r="J8" s="3">
        <v>6544749.6705081705</v>
      </c>
      <c r="L8" s="59" t="s">
        <v>69</v>
      </c>
      <c r="M8" s="108">
        <v>1.8</v>
      </c>
      <c r="N8" t="s">
        <v>180</v>
      </c>
      <c r="R8" s="17"/>
    </row>
    <row r="9" spans="1:18" ht="15.75" x14ac:dyDescent="0.25">
      <c r="A9" s="19" t="s">
        <v>36</v>
      </c>
      <c r="B9" s="2">
        <f>B10+B11</f>
        <v>8692000</v>
      </c>
      <c r="C9" s="2">
        <f t="shared" ref="C9:J9" si="1">C10+C11</f>
        <v>9821000</v>
      </c>
      <c r="D9" s="2">
        <f t="shared" si="1"/>
        <v>11181000</v>
      </c>
      <c r="E9" s="2">
        <f t="shared" si="1"/>
        <v>12664500</v>
      </c>
      <c r="F9" s="2">
        <f t="shared" si="1"/>
        <v>14350635.813165963</v>
      </c>
      <c r="G9" s="2">
        <f t="shared" si="1"/>
        <v>16986972.904783133</v>
      </c>
      <c r="H9" s="2">
        <f t="shared" si="1"/>
        <v>19261052.539508164</v>
      </c>
      <c r="I9" s="2">
        <f t="shared" si="1"/>
        <v>21842990.428480677</v>
      </c>
      <c r="J9" s="2">
        <f t="shared" si="1"/>
        <v>24775089.112525679</v>
      </c>
      <c r="L9" s="59" t="s">
        <v>70</v>
      </c>
      <c r="M9" s="109">
        <v>6.8000000000000005E-2</v>
      </c>
      <c r="N9" t="s">
        <v>180</v>
      </c>
      <c r="R9" s="17"/>
    </row>
    <row r="10" spans="1:18" x14ac:dyDescent="0.25">
      <c r="A10" s="22" t="s">
        <v>10</v>
      </c>
      <c r="B10" s="3">
        <v>8236000</v>
      </c>
      <c r="C10" s="3">
        <v>9269000</v>
      </c>
      <c r="D10" s="3">
        <v>10560000</v>
      </c>
      <c r="E10" s="3">
        <v>11986500</v>
      </c>
      <c r="F10" s="3">
        <v>13467814.436539087</v>
      </c>
      <c r="G10" s="3">
        <v>15894037.258196535</v>
      </c>
      <c r="H10" s="3">
        <v>17962641.546839226</v>
      </c>
      <c r="I10" s="3">
        <v>20300474.077084545</v>
      </c>
      <c r="J10" s="3">
        <v>22942574.825632919</v>
      </c>
      <c r="L10" s="59"/>
      <c r="M10" s="59"/>
      <c r="R10" s="17"/>
    </row>
    <row r="11" spans="1:18" x14ac:dyDescent="0.25">
      <c r="A11" s="22" t="s">
        <v>37</v>
      </c>
      <c r="B11" s="3">
        <v>456000</v>
      </c>
      <c r="C11" s="3">
        <v>552000</v>
      </c>
      <c r="D11" s="3">
        <v>621000</v>
      </c>
      <c r="E11" s="3">
        <v>678000</v>
      </c>
      <c r="F11" s="3">
        <v>882821.37662687525</v>
      </c>
      <c r="G11" s="3">
        <v>1092935.6465865988</v>
      </c>
      <c r="H11" s="3">
        <v>1298410.992668937</v>
      </c>
      <c r="I11" s="3">
        <v>1542516.3513961334</v>
      </c>
      <c r="J11" s="3">
        <v>1832514.2868927615</v>
      </c>
      <c r="L11" s="59" t="s">
        <v>62</v>
      </c>
      <c r="M11" s="60">
        <f>H56</f>
        <v>0.71573875802997855</v>
      </c>
      <c r="R11" s="17"/>
    </row>
    <row r="12" spans="1:18" x14ac:dyDescent="0.25">
      <c r="A12" s="19" t="s">
        <v>0</v>
      </c>
      <c r="B12" s="2">
        <f>B6-B9</f>
        <v>9350000</v>
      </c>
      <c r="C12" s="2">
        <f>C6-C9</f>
        <v>10612000</v>
      </c>
      <c r="D12" s="2">
        <f>D6-D9</f>
        <v>12058000</v>
      </c>
      <c r="E12" s="2">
        <f>E6-E9</f>
        <v>13747500</v>
      </c>
      <c r="F12" s="2">
        <f t="shared" ref="F12:J12" si="2">F6-F9</f>
        <v>15652421.284835197</v>
      </c>
      <c r="G12" s="2">
        <f t="shared" si="2"/>
        <v>18603535.750365119</v>
      </c>
      <c r="H12" s="2">
        <f t="shared" si="2"/>
        <v>21187374.063778549</v>
      </c>
      <c r="I12" s="2">
        <f t="shared" si="2"/>
        <v>24138066.283488616</v>
      </c>
      <c r="J12" s="2">
        <f t="shared" si="2"/>
        <v>27509105.238369137</v>
      </c>
      <c r="L12" s="59" t="s">
        <v>63</v>
      </c>
      <c r="M12" s="60">
        <f>H57</f>
        <v>0.28426124197002145</v>
      </c>
      <c r="R12" s="17"/>
    </row>
    <row r="13" spans="1:18" x14ac:dyDescent="0.25">
      <c r="A13" s="20" t="s">
        <v>11</v>
      </c>
      <c r="B13" s="4">
        <v>850000</v>
      </c>
      <c r="C13" s="4">
        <v>869000</v>
      </c>
      <c r="D13" s="4">
        <v>845000</v>
      </c>
      <c r="E13" s="4">
        <v>852000</v>
      </c>
      <c r="F13" s="4">
        <f>AVERAGE(B13:E13)</f>
        <v>854000</v>
      </c>
      <c r="G13" s="4">
        <f>F13</f>
        <v>854000</v>
      </c>
      <c r="H13" s="4">
        <f t="shared" ref="H13:J13" si="3">G13</f>
        <v>854000</v>
      </c>
      <c r="I13" s="4">
        <f t="shared" si="3"/>
        <v>854000</v>
      </c>
      <c r="J13" s="4">
        <f t="shared" si="3"/>
        <v>854000</v>
      </c>
      <c r="L13" s="59"/>
      <c r="M13" s="60"/>
      <c r="R13" s="17"/>
    </row>
    <row r="14" spans="1:18" x14ac:dyDescent="0.25">
      <c r="A14" s="20" t="s">
        <v>12</v>
      </c>
      <c r="B14" s="4">
        <v>192154</v>
      </c>
      <c r="C14" s="4">
        <v>210400</v>
      </c>
      <c r="D14" s="4">
        <v>220000</v>
      </c>
      <c r="E14" s="4">
        <v>225780</v>
      </c>
      <c r="F14" s="4">
        <v>238337.52173524411</v>
      </c>
      <c r="G14" s="4">
        <v>251593.47270306473</v>
      </c>
      <c r="H14" s="4">
        <v>265586.69841798313</v>
      </c>
      <c r="I14" s="4">
        <v>280358.20491977932</v>
      </c>
      <c r="J14" s="4">
        <v>295951.27893844416</v>
      </c>
      <c r="L14" s="61" t="s">
        <v>32</v>
      </c>
      <c r="M14" s="62">
        <f>M15*(1-16%)</f>
        <v>4.7208E-2</v>
      </c>
      <c r="R14" s="17"/>
    </row>
    <row r="15" spans="1:18" x14ac:dyDescent="0.25">
      <c r="A15" s="21" t="s">
        <v>29</v>
      </c>
      <c r="B15" s="5">
        <f>B16+B17+B18</f>
        <v>3942441</v>
      </c>
      <c r="C15" s="5">
        <f>C16+C17+C18</f>
        <v>4181460</v>
      </c>
      <c r="D15" s="5">
        <f t="shared" ref="D15" si="4">D16+D17+D18</f>
        <v>4266280</v>
      </c>
      <c r="E15" s="5">
        <f>E16+E17+E18</f>
        <v>4312500</v>
      </c>
      <c r="F15" s="5">
        <f t="shared" ref="F15:J15" si="5">F16+F17+F18</f>
        <v>5379000</v>
      </c>
      <c r="G15" s="5">
        <f>G16+G17+G18</f>
        <v>6384160</v>
      </c>
      <c r="H15" s="5">
        <f t="shared" si="5"/>
        <v>7429526.4000000004</v>
      </c>
      <c r="I15" s="5">
        <f t="shared" si="5"/>
        <v>8516707.4560000002</v>
      </c>
      <c r="J15" s="5">
        <f t="shared" si="5"/>
        <v>9647375.7542400006</v>
      </c>
      <c r="L15" s="59" t="s">
        <v>33</v>
      </c>
      <c r="M15" s="60">
        <f>F63</f>
        <v>5.62E-2</v>
      </c>
      <c r="R15" s="17"/>
    </row>
    <row r="16" spans="1:18" x14ac:dyDescent="0.25">
      <c r="A16" s="22" t="s">
        <v>13</v>
      </c>
      <c r="B16" s="3">
        <v>2542441</v>
      </c>
      <c r="C16" s="3">
        <v>2781460</v>
      </c>
      <c r="D16" s="3">
        <v>2866280</v>
      </c>
      <c r="E16" s="3">
        <v>2912500</v>
      </c>
      <c r="F16" s="3">
        <f>E16+4%*E16+850000</f>
        <v>3879000</v>
      </c>
      <c r="G16" s="3">
        <f t="shared" ref="G16:J16" si="6">F16+4%*F16+850000</f>
        <v>4884160</v>
      </c>
      <c r="H16" s="3">
        <f t="shared" si="6"/>
        <v>5929526.4000000004</v>
      </c>
      <c r="I16" s="3">
        <f t="shared" si="6"/>
        <v>7016707.4560000002</v>
      </c>
      <c r="J16" s="3">
        <f t="shared" si="6"/>
        <v>8147375.7542400006</v>
      </c>
      <c r="L16" s="59"/>
      <c r="M16" s="59"/>
      <c r="R16" s="17"/>
    </row>
    <row r="17" spans="1:18" x14ac:dyDescent="0.25">
      <c r="A17" s="22" t="s">
        <v>14</v>
      </c>
      <c r="B17" s="3">
        <v>150000</v>
      </c>
      <c r="C17" s="3">
        <v>150000</v>
      </c>
      <c r="D17" s="3">
        <v>150000</v>
      </c>
      <c r="E17" s="3">
        <v>150000</v>
      </c>
      <c r="F17" s="3">
        <f>E17</f>
        <v>150000</v>
      </c>
      <c r="G17" s="3">
        <f t="shared" ref="G17:J17" si="7">F17</f>
        <v>150000</v>
      </c>
      <c r="H17" s="3">
        <f t="shared" si="7"/>
        <v>150000</v>
      </c>
      <c r="I17" s="3">
        <f t="shared" si="7"/>
        <v>150000</v>
      </c>
      <c r="J17" s="3">
        <f t="shared" si="7"/>
        <v>150000</v>
      </c>
      <c r="L17" s="31" t="s">
        <v>64</v>
      </c>
      <c r="M17" s="76">
        <f>M6*M11+M14*M12</f>
        <v>0.14855088222698073</v>
      </c>
      <c r="R17" s="17"/>
    </row>
    <row r="18" spans="1:18" x14ac:dyDescent="0.25">
      <c r="A18" s="22" t="s">
        <v>15</v>
      </c>
      <c r="B18" s="3">
        <v>1250000</v>
      </c>
      <c r="C18" s="3">
        <v>1250000</v>
      </c>
      <c r="D18" s="3">
        <v>1250000</v>
      </c>
      <c r="E18" s="3">
        <v>1250000</v>
      </c>
      <c r="F18" s="3">
        <f>E18+100000</f>
        <v>1350000</v>
      </c>
      <c r="G18" s="3">
        <f>F18</f>
        <v>1350000</v>
      </c>
      <c r="H18" s="3">
        <f t="shared" ref="H18:J18" si="8">G18</f>
        <v>1350000</v>
      </c>
      <c r="I18" s="3">
        <f t="shared" si="8"/>
        <v>1350000</v>
      </c>
      <c r="J18" s="3">
        <f t="shared" si="8"/>
        <v>1350000</v>
      </c>
      <c r="R18" s="17"/>
    </row>
    <row r="19" spans="1:18" x14ac:dyDescent="0.25">
      <c r="A19" s="20" t="s">
        <v>16</v>
      </c>
      <c r="B19" s="4">
        <v>50000</v>
      </c>
      <c r="C19" s="4">
        <v>50000</v>
      </c>
      <c r="D19" s="4">
        <v>50000</v>
      </c>
      <c r="E19" s="4">
        <v>50000</v>
      </c>
      <c r="F19" s="4">
        <f>E19</f>
        <v>50000</v>
      </c>
      <c r="G19" s="4">
        <f t="shared" ref="G19:J19" si="9">F19</f>
        <v>50000</v>
      </c>
      <c r="H19" s="4">
        <f t="shared" si="9"/>
        <v>50000</v>
      </c>
      <c r="I19" s="4">
        <f t="shared" si="9"/>
        <v>50000</v>
      </c>
      <c r="J19" s="4">
        <f t="shared" si="9"/>
        <v>50000</v>
      </c>
      <c r="R19" s="17"/>
    </row>
    <row r="20" spans="1:18" x14ac:dyDescent="0.25">
      <c r="A20" s="19" t="s">
        <v>1</v>
      </c>
      <c r="B20" s="2">
        <f>B12+B13-B14-B15-B19</f>
        <v>6015405</v>
      </c>
      <c r="C20" s="2">
        <f t="shared" ref="C20:D20" si="10">C12+C13-C14-C15-C19</f>
        <v>7039140</v>
      </c>
      <c r="D20" s="2">
        <f t="shared" si="10"/>
        <v>8366720</v>
      </c>
      <c r="E20" s="2">
        <f>E12+E13-E14-E15-E19</f>
        <v>10011220</v>
      </c>
      <c r="F20" s="2">
        <f t="shared" ref="F20:J20" si="11">F12+F13-F14-F15-F19</f>
        <v>10839083.763099954</v>
      </c>
      <c r="G20" s="2">
        <f t="shared" si="11"/>
        <v>12771782.277662054</v>
      </c>
      <c r="H20" s="2">
        <f t="shared" si="11"/>
        <v>14296260.965360565</v>
      </c>
      <c r="I20" s="2">
        <f t="shared" si="11"/>
        <v>16145000.622568838</v>
      </c>
      <c r="J20" s="2">
        <f t="shared" si="11"/>
        <v>18369778.205190696</v>
      </c>
      <c r="R20" s="17"/>
    </row>
    <row r="21" spans="1:18" x14ac:dyDescent="0.25">
      <c r="A21" s="22" t="s">
        <v>17</v>
      </c>
      <c r="B21" s="3">
        <v>50000</v>
      </c>
      <c r="C21" s="3">
        <v>52000</v>
      </c>
      <c r="D21" s="3">
        <v>55000</v>
      </c>
      <c r="E21" s="3">
        <v>57000</v>
      </c>
      <c r="F21" s="3">
        <v>59547.062937062939</v>
      </c>
      <c r="G21" s="3">
        <v>62207.942182991836</v>
      </c>
      <c r="H21" s="3">
        <v>64987.723655364687</v>
      </c>
      <c r="I21" s="3">
        <v>67891.720537586923</v>
      </c>
      <c r="J21" s="3">
        <v>70925.483434336435</v>
      </c>
      <c r="R21" s="17"/>
    </row>
    <row r="22" spans="1:18" x14ac:dyDescent="0.25">
      <c r="A22" s="22" t="s">
        <v>18</v>
      </c>
      <c r="B22" s="3">
        <v>860000</v>
      </c>
      <c r="C22" s="3">
        <v>860000</v>
      </c>
      <c r="D22" s="3">
        <v>860000</v>
      </c>
      <c r="E22" s="3">
        <v>860000</v>
      </c>
      <c r="F22" s="3">
        <f>E22</f>
        <v>860000</v>
      </c>
      <c r="G22" s="3">
        <f t="shared" ref="G22:J22" si="12">F22</f>
        <v>860000</v>
      </c>
      <c r="H22" s="3">
        <f t="shared" si="12"/>
        <v>860000</v>
      </c>
      <c r="I22" s="3">
        <f t="shared" si="12"/>
        <v>860000</v>
      </c>
      <c r="J22" s="3">
        <f t="shared" si="12"/>
        <v>860000</v>
      </c>
      <c r="R22" s="17"/>
    </row>
    <row r="23" spans="1:18" x14ac:dyDescent="0.25">
      <c r="A23" s="23" t="s">
        <v>19</v>
      </c>
      <c r="B23" s="2">
        <f t="shared" ref="B23" si="13">B21-B22</f>
        <v>-810000</v>
      </c>
      <c r="C23" s="2">
        <f>C21-C22</f>
        <v>-808000</v>
      </c>
      <c r="D23" s="2">
        <f t="shared" ref="D23:J23" si="14">D21-D22</f>
        <v>-805000</v>
      </c>
      <c r="E23" s="2">
        <f t="shared" si="14"/>
        <v>-803000</v>
      </c>
      <c r="F23" s="2">
        <f t="shared" si="14"/>
        <v>-800452.93706293707</v>
      </c>
      <c r="G23" s="2">
        <f t="shared" si="14"/>
        <v>-797792.05781700811</v>
      </c>
      <c r="H23" s="2">
        <f t="shared" si="14"/>
        <v>-795012.27634463529</v>
      </c>
      <c r="I23" s="2">
        <f t="shared" si="14"/>
        <v>-792108.27946241305</v>
      </c>
      <c r="J23" s="2">
        <f t="shared" si="14"/>
        <v>-789074.51656566351</v>
      </c>
      <c r="R23" s="17"/>
    </row>
    <row r="24" spans="1:18" x14ac:dyDescent="0.25">
      <c r="A24" s="23" t="s">
        <v>20</v>
      </c>
      <c r="B24" s="2">
        <f t="shared" ref="B24" si="15">B20+B23</f>
        <v>5205405</v>
      </c>
      <c r="C24" s="2">
        <f>C20+C23</f>
        <v>6231140</v>
      </c>
      <c r="D24" s="2">
        <f t="shared" ref="D24:J24" si="16">D20+D23</f>
        <v>7561720</v>
      </c>
      <c r="E24" s="2">
        <f t="shared" si="16"/>
        <v>9208220</v>
      </c>
      <c r="F24" s="2">
        <f t="shared" si="16"/>
        <v>10038630.826037016</v>
      </c>
      <c r="G24" s="2">
        <f t="shared" si="16"/>
        <v>11973990.219845045</v>
      </c>
      <c r="H24" s="2">
        <f t="shared" si="16"/>
        <v>13501248.689015931</v>
      </c>
      <c r="I24" s="2">
        <f t="shared" si="16"/>
        <v>15352892.343106424</v>
      </c>
      <c r="J24" s="2">
        <f t="shared" si="16"/>
        <v>17580703.688625034</v>
      </c>
      <c r="R24" s="17"/>
    </row>
    <row r="25" spans="1:18" x14ac:dyDescent="0.25">
      <c r="A25" s="22" t="s">
        <v>21</v>
      </c>
      <c r="B25" s="3">
        <f>0.1678*B24</f>
        <v>873466.95900000003</v>
      </c>
      <c r="C25" s="3">
        <f>0.1698*C24</f>
        <v>1058047.5719999999</v>
      </c>
      <c r="D25" s="3">
        <f>0.1625*D24</f>
        <v>1228779.5</v>
      </c>
      <c r="E25" s="3">
        <f>0.1675*E24</f>
        <v>1542376.85</v>
      </c>
      <c r="F25" s="3">
        <v>1675447.4848655779</v>
      </c>
      <c r="G25" s="3">
        <v>1998458.9676921379</v>
      </c>
      <c r="H25" s="3">
        <v>2253358.4061967586</v>
      </c>
      <c r="I25" s="3">
        <v>2562397.7320644623</v>
      </c>
      <c r="J25" s="3">
        <v>2934219.445631518</v>
      </c>
      <c r="R25" s="17"/>
    </row>
    <row r="26" spans="1:18" x14ac:dyDescent="0.25">
      <c r="A26" s="40" t="s">
        <v>22</v>
      </c>
      <c r="B26" s="41">
        <f>B24-B25</f>
        <v>4331938.0410000002</v>
      </c>
      <c r="C26" s="41">
        <f>C24-C25</f>
        <v>5173092.4280000003</v>
      </c>
      <c r="D26" s="41">
        <f t="shared" ref="D26:J26" si="17">D24-D25</f>
        <v>6332940.5</v>
      </c>
      <c r="E26" s="41">
        <f t="shared" si="17"/>
        <v>7665843.1500000004</v>
      </c>
      <c r="F26" s="41">
        <f t="shared" si="17"/>
        <v>8363183.3411714379</v>
      </c>
      <c r="G26" s="41">
        <f t="shared" si="17"/>
        <v>9975531.2521529067</v>
      </c>
      <c r="H26" s="41">
        <f t="shared" si="17"/>
        <v>11247890.282819172</v>
      </c>
      <c r="I26" s="41">
        <f t="shared" si="17"/>
        <v>12790494.611041963</v>
      </c>
      <c r="J26" s="41">
        <f t="shared" si="17"/>
        <v>14646484.242993515</v>
      </c>
      <c r="L26" s="98" t="s">
        <v>2</v>
      </c>
      <c r="M26" s="98"/>
      <c r="N26" s="98"/>
      <c r="O26" s="98"/>
      <c r="P26" s="98"/>
      <c r="Q26" s="98"/>
      <c r="R26" s="17"/>
    </row>
    <row r="27" spans="1:18" x14ac:dyDescent="0.25">
      <c r="A27" s="24" t="s">
        <v>119</v>
      </c>
      <c r="B27" s="72">
        <f>B26/B6</f>
        <v>0.24010298420352513</v>
      </c>
      <c r="C27" s="72">
        <f t="shared" ref="C27:E27" si="18">C26/C6</f>
        <v>0.25317341692360401</v>
      </c>
      <c r="D27" s="72">
        <f t="shared" si="18"/>
        <v>0.2725134687378975</v>
      </c>
      <c r="E27" s="72">
        <f t="shared" si="18"/>
        <v>0.2902409189004998</v>
      </c>
      <c r="F27" s="72">
        <f>F26/F6</f>
        <v>0.27874437307685568</v>
      </c>
      <c r="G27" s="72">
        <f>G26/G6</f>
        <v>0.28028627937886813</v>
      </c>
      <c r="H27" s="72">
        <f>H26/H6</f>
        <v>0.27807979759354112</v>
      </c>
      <c r="I27" s="72">
        <f>I26/I6</f>
        <v>0.27816878353107705</v>
      </c>
      <c r="J27" s="72">
        <f>J26/J6</f>
        <v>0.28013215895986832</v>
      </c>
      <c r="M27" s="39" t="s">
        <v>66</v>
      </c>
      <c r="N27" s="39" t="s">
        <v>67</v>
      </c>
      <c r="O27" s="39" t="s">
        <v>77</v>
      </c>
      <c r="P27" s="39" t="s">
        <v>161</v>
      </c>
      <c r="Q27" s="39" t="s">
        <v>162</v>
      </c>
      <c r="R27" s="17"/>
    </row>
    <row r="28" spans="1:18" x14ac:dyDescent="0.25">
      <c r="A28" s="57" t="s">
        <v>61</v>
      </c>
      <c r="B28" s="58"/>
      <c r="C28" s="58"/>
      <c r="D28" s="58"/>
      <c r="E28" s="58">
        <f>E50</f>
        <v>4560000</v>
      </c>
      <c r="F28" s="58">
        <f>E52*F6</f>
        <v>5179991.6843436798</v>
      </c>
      <c r="G28" s="58">
        <f>$E$52*G6</f>
        <v>6144658.4684036057</v>
      </c>
      <c r="H28" s="58">
        <f t="shared" ref="H28:J28" si="19">$E$52*H6</f>
        <v>6983372.1532253297</v>
      </c>
      <c r="I28" s="58">
        <f t="shared" si="19"/>
        <v>7938574.0802127812</v>
      </c>
      <c r="J28" s="58">
        <f t="shared" si="19"/>
        <v>9026803.2046070099</v>
      </c>
      <c r="L28" s="13" t="s">
        <v>120</v>
      </c>
      <c r="M28" s="6">
        <f>F26</f>
        <v>8363183.3411714379</v>
      </c>
      <c r="N28" s="6">
        <f t="shared" ref="N28:Q28" si="20">G26</f>
        <v>9975531.2521529067</v>
      </c>
      <c r="O28" s="6">
        <f t="shared" si="20"/>
        <v>11247890.282819172</v>
      </c>
      <c r="P28" s="6">
        <f t="shared" si="20"/>
        <v>12790494.611041963</v>
      </c>
      <c r="Q28" s="6">
        <f t="shared" si="20"/>
        <v>14646484.242993515</v>
      </c>
      <c r="R28" s="17"/>
    </row>
    <row r="29" spans="1:18" x14ac:dyDescent="0.25">
      <c r="A29" s="25" t="s">
        <v>27</v>
      </c>
      <c r="B29" s="26"/>
      <c r="C29" s="26"/>
      <c r="L29" s="13" t="s">
        <v>121</v>
      </c>
      <c r="M29" s="6">
        <f>F22*(1-16%)</f>
        <v>722400</v>
      </c>
      <c r="N29" s="6">
        <f t="shared" ref="N29:Q29" si="21">G22*(1-16%)</f>
        <v>722400</v>
      </c>
      <c r="O29" s="6">
        <f t="shared" si="21"/>
        <v>722400</v>
      </c>
      <c r="P29" s="6">
        <f t="shared" si="21"/>
        <v>722400</v>
      </c>
      <c r="Q29" s="6">
        <f t="shared" si="21"/>
        <v>722400</v>
      </c>
      <c r="R29" s="17"/>
    </row>
    <row r="30" spans="1:18" ht="15.75" x14ac:dyDescent="0.25">
      <c r="A30" s="104" t="s">
        <v>60</v>
      </c>
      <c r="E30" s="8"/>
      <c r="L30" s="11" t="s">
        <v>23</v>
      </c>
      <c r="M30" s="6">
        <f>F18</f>
        <v>1350000</v>
      </c>
      <c r="N30" s="6">
        <f t="shared" ref="N30:Q30" si="22">G18</f>
        <v>1350000</v>
      </c>
      <c r="O30" s="6">
        <f t="shared" si="22"/>
        <v>1350000</v>
      </c>
      <c r="P30" s="6">
        <f t="shared" si="22"/>
        <v>1350000</v>
      </c>
      <c r="Q30" s="6">
        <f t="shared" si="22"/>
        <v>1350000</v>
      </c>
      <c r="R30" s="17"/>
    </row>
    <row r="31" spans="1:18" x14ac:dyDescent="0.25">
      <c r="A31" s="104" t="s">
        <v>26</v>
      </c>
      <c r="E31" s="10"/>
      <c r="L31" s="11" t="s">
        <v>24</v>
      </c>
      <c r="M31" s="6">
        <f>F28-E28</f>
        <v>619991.68434367981</v>
      </c>
      <c r="N31" s="6">
        <f t="shared" ref="N31:Q31" si="23">G28-F28</f>
        <v>964666.78405992594</v>
      </c>
      <c r="O31" s="6">
        <f t="shared" si="23"/>
        <v>838713.68482172396</v>
      </c>
      <c r="P31" s="6">
        <f t="shared" si="23"/>
        <v>955201.9269874515</v>
      </c>
      <c r="Q31" s="6">
        <f t="shared" si="23"/>
        <v>1088229.1243942287</v>
      </c>
      <c r="R31" s="17"/>
    </row>
    <row r="32" spans="1:18" x14ac:dyDescent="0.25">
      <c r="A32" s="104" t="s">
        <v>168</v>
      </c>
      <c r="L32" s="11" t="s">
        <v>25</v>
      </c>
      <c r="M32" s="6">
        <v>1000000</v>
      </c>
      <c r="N32" s="6">
        <v>0</v>
      </c>
      <c r="O32" s="6">
        <v>0</v>
      </c>
      <c r="P32" s="6">
        <v>0</v>
      </c>
      <c r="Q32" s="6">
        <v>0</v>
      </c>
      <c r="R32" s="17"/>
    </row>
    <row r="33" spans="1:18" x14ac:dyDescent="0.25">
      <c r="A33" s="104" t="s">
        <v>165</v>
      </c>
      <c r="B33" s="105"/>
      <c r="C33" s="105"/>
      <c r="L33" s="55" t="s">
        <v>2</v>
      </c>
      <c r="M33" s="7">
        <f>M28+M29+M30-M31-M32</f>
        <v>8815591.656827759</v>
      </c>
      <c r="N33" s="7">
        <f t="shared" ref="N33:Q33" si="24">N28+N29+N30-N31-N32</f>
        <v>11083264.468092982</v>
      </c>
      <c r="O33" s="7">
        <f t="shared" si="24"/>
        <v>12481576.597997449</v>
      </c>
      <c r="P33" s="7">
        <f t="shared" si="24"/>
        <v>13907692.684054513</v>
      </c>
      <c r="Q33" s="7">
        <f t="shared" si="24"/>
        <v>15630655.118599286</v>
      </c>
      <c r="R33" s="17"/>
    </row>
    <row r="34" spans="1:18" ht="15.75" thickBot="1" x14ac:dyDescent="0.3">
      <c r="A34" s="65" t="s">
        <v>166</v>
      </c>
      <c r="F34" s="9"/>
      <c r="G34" s="9"/>
      <c r="L34" s="33" t="s">
        <v>3</v>
      </c>
      <c r="R34" s="17"/>
    </row>
    <row r="35" spans="1:18" ht="15.75" thickBot="1" x14ac:dyDescent="0.3">
      <c r="A35" s="65" t="s">
        <v>72</v>
      </c>
      <c r="L35" s="34" t="s">
        <v>34</v>
      </c>
      <c r="M35" s="36">
        <f>M17</f>
        <v>0.14855088222698073</v>
      </c>
      <c r="R35" s="17"/>
    </row>
    <row r="36" spans="1:18" x14ac:dyDescent="0.25">
      <c r="A36" s="65" t="s">
        <v>38</v>
      </c>
      <c r="B36" s="27"/>
      <c r="F36" s="9"/>
      <c r="H36" s="9"/>
      <c r="L36" s="64" t="s">
        <v>4</v>
      </c>
      <c r="M36" s="32">
        <f>NPV(M35,M33:Q33)</f>
        <v>40127367.954089679</v>
      </c>
      <c r="R36" s="17"/>
    </row>
    <row r="37" spans="1:18" x14ac:dyDescent="0.25">
      <c r="A37" s="65" t="s">
        <v>39</v>
      </c>
      <c r="F37" s="9"/>
      <c r="H37" s="9"/>
      <c r="L37" s="12" t="s">
        <v>179</v>
      </c>
      <c r="M37" s="7">
        <f>Q33*(1+3.98%)/(M35-3.98%)</f>
        <v>149449410.05993313</v>
      </c>
      <c r="R37" s="17"/>
    </row>
    <row r="38" spans="1:18" ht="15.75" thickBot="1" x14ac:dyDescent="0.3">
      <c r="A38" s="18"/>
      <c r="D38" s="10" t="s">
        <v>125</v>
      </c>
      <c r="F38" s="9"/>
      <c r="G38" s="72">
        <f>(3.7%+4.2%+4.1%+3.9%)/4</f>
        <v>3.9750000000000001E-2</v>
      </c>
      <c r="H38" s="9" t="s">
        <v>178</v>
      </c>
      <c r="L38" s="33" t="s">
        <v>5</v>
      </c>
      <c r="M38" s="35">
        <f>M37/(1+M35)^5</f>
        <v>74772690.233120084</v>
      </c>
      <c r="R38" s="17"/>
    </row>
    <row r="39" spans="1:18" x14ac:dyDescent="0.25">
      <c r="A39" s="37"/>
      <c r="F39" s="9"/>
      <c r="H39" s="9"/>
      <c r="L39" s="77" t="s">
        <v>6</v>
      </c>
      <c r="M39" s="78">
        <f>M36+M38</f>
        <v>114900058.18720976</v>
      </c>
      <c r="O39" t="s">
        <v>75</v>
      </c>
      <c r="R39" s="17"/>
    </row>
    <row r="40" spans="1:18" x14ac:dyDescent="0.25">
      <c r="A40" s="18"/>
      <c r="L40" s="79" t="s">
        <v>65</v>
      </c>
      <c r="M40" s="80">
        <f>M39-B56+B51</f>
        <v>104950058.18720976</v>
      </c>
      <c r="R40" s="17"/>
    </row>
    <row r="41" spans="1:18" x14ac:dyDescent="0.25">
      <c r="A41" s="18"/>
      <c r="L41" s="12" t="s">
        <v>76</v>
      </c>
      <c r="M41" s="59"/>
      <c r="R41" s="17"/>
    </row>
    <row r="42" spans="1:18" ht="15.75" thickBot="1" x14ac:dyDescent="0.3">
      <c r="A42" s="30"/>
      <c r="B42" s="28"/>
      <c r="C42" s="28"/>
      <c r="D42" s="28"/>
      <c r="E42" s="28"/>
      <c r="F42" s="28"/>
      <c r="G42" s="28"/>
      <c r="H42" s="28"/>
      <c r="I42" s="28"/>
      <c r="J42" s="28"/>
      <c r="K42" s="28"/>
      <c r="L42" s="81" t="s">
        <v>71</v>
      </c>
      <c r="M42" s="82">
        <f>M40/1000000</f>
        <v>104.95005818720975</v>
      </c>
      <c r="R42" s="17"/>
    </row>
    <row r="43" spans="1:18" ht="15.75" thickBot="1" x14ac:dyDescent="0.3">
      <c r="L43" s="28"/>
      <c r="M43" s="28"/>
      <c r="N43" s="28"/>
      <c r="O43" s="28"/>
      <c r="P43" s="28"/>
      <c r="Q43" s="28"/>
      <c r="R43" s="29"/>
    </row>
    <row r="45" spans="1:18" x14ac:dyDescent="0.25">
      <c r="A45" t="s">
        <v>78</v>
      </c>
      <c r="L45" t="s">
        <v>79</v>
      </c>
    </row>
    <row r="46" spans="1:18" x14ac:dyDescent="0.25">
      <c r="A46" s="43" t="s">
        <v>40</v>
      </c>
      <c r="B46" s="44">
        <v>46022</v>
      </c>
    </row>
    <row r="47" spans="1:18" x14ac:dyDescent="0.25">
      <c r="A47" s="45" t="s">
        <v>41</v>
      </c>
      <c r="B47" s="46">
        <v>32560000</v>
      </c>
    </row>
    <row r="48" spans="1:18" x14ac:dyDescent="0.25">
      <c r="A48" s="45" t="s">
        <v>42</v>
      </c>
      <c r="B48" s="46">
        <f>SUM(B49:B51)</f>
        <v>10820000</v>
      </c>
    </row>
    <row r="49" spans="1:8" x14ac:dyDescent="0.25">
      <c r="A49" s="47" t="s">
        <v>43</v>
      </c>
      <c r="B49" s="48">
        <v>4890000</v>
      </c>
      <c r="D49" t="s">
        <v>123</v>
      </c>
      <c r="E49" s="56"/>
    </row>
    <row r="50" spans="1:8" x14ac:dyDescent="0.25">
      <c r="A50" s="47" t="s">
        <v>44</v>
      </c>
      <c r="B50" s="48">
        <v>5260000</v>
      </c>
      <c r="D50" s="73" t="s">
        <v>167</v>
      </c>
      <c r="E50" s="74">
        <f>B49+B50-B58</f>
        <v>4560000</v>
      </c>
    </row>
    <row r="51" spans="1:8" x14ac:dyDescent="0.25">
      <c r="A51" s="47" t="s">
        <v>45</v>
      </c>
      <c r="B51" s="48">
        <v>670000</v>
      </c>
    </row>
    <row r="52" spans="1:8" x14ac:dyDescent="0.25">
      <c r="A52" s="49" t="s">
        <v>46</v>
      </c>
      <c r="B52" s="50">
        <f>B47+B48</f>
        <v>43380000</v>
      </c>
      <c r="D52" t="s">
        <v>124</v>
      </c>
      <c r="E52" s="75">
        <f>E50/E6</f>
        <v>0.17264879600181735</v>
      </c>
    </row>
    <row r="54" spans="1:8" x14ac:dyDescent="0.25">
      <c r="A54" s="43" t="s">
        <v>47</v>
      </c>
      <c r="B54" s="44">
        <v>46022</v>
      </c>
    </row>
    <row r="55" spans="1:8" x14ac:dyDescent="0.25">
      <c r="A55" s="45" t="s">
        <v>48</v>
      </c>
      <c r="B55" s="46">
        <v>26740000</v>
      </c>
      <c r="D55" t="s">
        <v>126</v>
      </c>
      <c r="E55" s="10"/>
    </row>
    <row r="56" spans="1:8" x14ac:dyDescent="0.25">
      <c r="A56" s="45" t="s">
        <v>49</v>
      </c>
      <c r="B56" s="46">
        <v>10620000</v>
      </c>
      <c r="D56" t="s">
        <v>127</v>
      </c>
      <c r="E56" s="10"/>
      <c r="H56" s="75">
        <f>B55/(B55+B56)</f>
        <v>0.71573875802997855</v>
      </c>
    </row>
    <row r="57" spans="1:8" x14ac:dyDescent="0.25">
      <c r="A57" s="45" t="s">
        <v>50</v>
      </c>
      <c r="B57" s="46">
        <f>B58+B59</f>
        <v>6020000</v>
      </c>
      <c r="D57" t="s">
        <v>128</v>
      </c>
      <c r="H57" s="75">
        <f>1-H56</f>
        <v>0.28426124197002145</v>
      </c>
    </row>
    <row r="58" spans="1:8" x14ac:dyDescent="0.25">
      <c r="A58" s="47" t="s">
        <v>51</v>
      </c>
      <c r="B58" s="48">
        <v>5590000</v>
      </c>
    </row>
    <row r="59" spans="1:8" x14ac:dyDescent="0.25">
      <c r="A59" s="47" t="s">
        <v>52</v>
      </c>
      <c r="B59" s="48">
        <v>430000</v>
      </c>
    </row>
    <row r="60" spans="1:8" x14ac:dyDescent="0.25">
      <c r="A60" s="51" t="s">
        <v>53</v>
      </c>
      <c r="B60" s="50">
        <f>B55+B56+B57</f>
        <v>43380000</v>
      </c>
    </row>
    <row r="62" spans="1:8" ht="21.75" customHeight="1" x14ac:dyDescent="0.25">
      <c r="A62" s="52" t="s">
        <v>54</v>
      </c>
      <c r="B62" s="53" t="s">
        <v>55</v>
      </c>
      <c r="C62" s="53" t="s">
        <v>56</v>
      </c>
    </row>
    <row r="63" spans="1:8" x14ac:dyDescent="0.25">
      <c r="A63" s="47" t="s">
        <v>57</v>
      </c>
      <c r="B63" s="48">
        <f>4569700</f>
        <v>4569700</v>
      </c>
      <c r="C63" s="54">
        <v>5.67E-2</v>
      </c>
      <c r="E63" s="10" t="s">
        <v>118</v>
      </c>
      <c r="F63" s="54">
        <f>AVERAGE(C63:C65)</f>
        <v>5.62E-2</v>
      </c>
    </row>
    <row r="64" spans="1:8" x14ac:dyDescent="0.25">
      <c r="A64" s="47" t="s">
        <v>58</v>
      </c>
      <c r="B64" s="48">
        <v>3214700</v>
      </c>
      <c r="C64" s="54">
        <v>5.21E-2</v>
      </c>
    </row>
    <row r="65" spans="1:10" x14ac:dyDescent="0.25">
      <c r="A65" s="47" t="s">
        <v>59</v>
      </c>
      <c r="B65" s="48">
        <f>B56-B63-B64</f>
        <v>2835600</v>
      </c>
      <c r="C65" s="54">
        <v>5.9799999999999999E-2</v>
      </c>
    </row>
    <row r="69" spans="1:10" x14ac:dyDescent="0.25">
      <c r="A69" s="38"/>
      <c r="B69" s="31">
        <v>2022</v>
      </c>
      <c r="C69" s="31">
        <v>2023</v>
      </c>
      <c r="D69" s="31">
        <v>2024</v>
      </c>
      <c r="E69" s="31">
        <v>2025</v>
      </c>
      <c r="F69" s="39" t="s">
        <v>66</v>
      </c>
      <c r="G69" s="39" t="s">
        <v>67</v>
      </c>
      <c r="H69" s="39" t="s">
        <v>77</v>
      </c>
      <c r="I69" s="39" t="s">
        <v>161</v>
      </c>
      <c r="J69" s="39" t="s">
        <v>162</v>
      </c>
    </row>
    <row r="70" spans="1:10" x14ac:dyDescent="0.25">
      <c r="A70" s="19" t="s">
        <v>8</v>
      </c>
      <c r="B70" s="2">
        <f>B71+B72</f>
        <v>18042000</v>
      </c>
      <c r="C70" s="2">
        <f t="shared" ref="C70:J70" si="25">C71+C72</f>
        <v>20433000</v>
      </c>
      <c r="D70" s="2">
        <f t="shared" si="25"/>
        <v>23239000</v>
      </c>
      <c r="E70" s="2">
        <f t="shared" si="25"/>
        <v>26412000</v>
      </c>
      <c r="F70" s="2">
        <f t="shared" si="25"/>
        <v>30003057.09800116</v>
      </c>
      <c r="G70" s="2">
        <f t="shared" si="25"/>
        <v>35590508.655148253</v>
      </c>
      <c r="H70" s="2">
        <f t="shared" si="25"/>
        <v>40448426.603286713</v>
      </c>
      <c r="I70" s="2">
        <f t="shared" si="25"/>
        <v>45981056.711969294</v>
      </c>
      <c r="J70" s="2">
        <f t="shared" si="25"/>
        <v>52284194.350894816</v>
      </c>
    </row>
    <row r="71" spans="1:10" x14ac:dyDescent="0.25">
      <c r="A71" s="22" t="s">
        <v>9</v>
      </c>
      <c r="B71" s="3">
        <v>16459000</v>
      </c>
      <c r="C71" s="3">
        <v>18568000</v>
      </c>
      <c r="D71" s="3">
        <v>21025000</v>
      </c>
      <c r="E71" s="3">
        <v>23758000</v>
      </c>
      <c r="F71" s="3">
        <f>E71+F73*E71</f>
        <v>26850096.733586587</v>
      </c>
      <c r="G71" s="3">
        <f t="shared" ref="G71:J71" si="26">F71+G73*F71</f>
        <v>31687133.787052136</v>
      </c>
      <c r="H71" s="3">
        <f t="shared" si="26"/>
        <v>35811204.95801203</v>
      </c>
      <c r="I71" s="3">
        <f t="shared" si="26"/>
        <v>40472022.782596119</v>
      </c>
      <c r="J71" s="3">
        <f t="shared" si="26"/>
        <v>45739444.680386648</v>
      </c>
    </row>
    <row r="72" spans="1:10" x14ac:dyDescent="0.25">
      <c r="A72" s="22" t="s">
        <v>35</v>
      </c>
      <c r="B72" s="3">
        <v>1583000</v>
      </c>
      <c r="C72" s="3">
        <v>1865000</v>
      </c>
      <c r="D72" s="3">
        <v>2214000</v>
      </c>
      <c r="E72" s="3">
        <v>2654000</v>
      </c>
      <c r="F72" s="3">
        <f>E72+F74*E72</f>
        <v>3152960.3644145723</v>
      </c>
      <c r="G72" s="3">
        <f t="shared" ref="G72:J72" si="27">F72+G74*F72</f>
        <v>3903374.8680961137</v>
      </c>
      <c r="H72" s="3">
        <f t="shared" si="27"/>
        <v>4637221.645274682</v>
      </c>
      <c r="I72" s="3">
        <f t="shared" si="27"/>
        <v>5509033.929373174</v>
      </c>
      <c r="J72" s="3">
        <f t="shared" si="27"/>
        <v>6544749.6705081705</v>
      </c>
    </row>
    <row r="73" spans="1:10" x14ac:dyDescent="0.25">
      <c r="A73" t="s">
        <v>169</v>
      </c>
      <c r="C73" s="54">
        <f>(C71-B71)/B71</f>
        <v>0.12813658180934442</v>
      </c>
      <c r="D73" s="54">
        <f t="shared" ref="D73:E73" si="28">(D71-C71)/C71</f>
        <v>0.13232442912537698</v>
      </c>
      <c r="E73" s="54">
        <f t="shared" si="28"/>
        <v>0.12998810939357908</v>
      </c>
      <c r="F73" s="54">
        <f>AVERAGE(C73:E73)</f>
        <v>0.13014970677610016</v>
      </c>
      <c r="G73" s="100">
        <f>F73+5%</f>
        <v>0.18014970677610015</v>
      </c>
      <c r="H73" s="54">
        <f>F73</f>
        <v>0.13014970677610016</v>
      </c>
      <c r="I73" s="54">
        <f t="shared" ref="I73:J73" si="29">H73</f>
        <v>0.13014970677610016</v>
      </c>
      <c r="J73" s="54">
        <f t="shared" si="29"/>
        <v>0.13014970677610016</v>
      </c>
    </row>
    <row r="74" spans="1:10" x14ac:dyDescent="0.25">
      <c r="A74" t="s">
        <v>170</v>
      </c>
      <c r="C74" s="54">
        <f>(C72-B72)/B72</f>
        <v>0.17814276689829439</v>
      </c>
      <c r="D74" s="54">
        <f t="shared" ref="D74:E74" si="30">(D72-C72)/C72</f>
        <v>0.18713136729222521</v>
      </c>
      <c r="E74" s="54">
        <f t="shared" si="30"/>
        <v>0.19873532068654021</v>
      </c>
      <c r="F74" s="54">
        <f>AVERAGE(C74:E74)</f>
        <v>0.18800315162568659</v>
      </c>
      <c r="G74" s="101">
        <f>F74+5%</f>
        <v>0.23800315162568658</v>
      </c>
      <c r="H74" s="60">
        <f>F74</f>
        <v>0.18800315162568659</v>
      </c>
      <c r="I74" s="60">
        <f t="shared" ref="I74" si="31">H74</f>
        <v>0.18800315162568659</v>
      </c>
      <c r="J74" s="60">
        <f>I74</f>
        <v>0.18800315162568659</v>
      </c>
    </row>
    <row r="75" spans="1:10" x14ac:dyDescent="0.25">
      <c r="G75" t="s">
        <v>171</v>
      </c>
    </row>
    <row r="79" spans="1:10" x14ac:dyDescent="0.25">
      <c r="A79" s="19" t="s">
        <v>36</v>
      </c>
      <c r="B79" s="2">
        <f>B80+B81</f>
        <v>8692000</v>
      </c>
      <c r="C79" s="2">
        <f t="shared" ref="C79:J79" si="32">C80+C81</f>
        <v>9821000</v>
      </c>
      <c r="D79" s="2">
        <f t="shared" si="32"/>
        <v>11181000</v>
      </c>
      <c r="E79" s="2">
        <f t="shared" si="32"/>
        <v>12664500</v>
      </c>
      <c r="F79" s="2">
        <f t="shared" si="32"/>
        <v>14350635.813165963</v>
      </c>
      <c r="G79" s="2">
        <f t="shared" si="32"/>
        <v>16986972.904783133</v>
      </c>
      <c r="H79" s="2">
        <f t="shared" si="32"/>
        <v>19261052.539508164</v>
      </c>
      <c r="I79" s="2">
        <f t="shared" si="32"/>
        <v>21842990.428480677</v>
      </c>
      <c r="J79" s="2">
        <f t="shared" si="32"/>
        <v>24775089.112525679</v>
      </c>
    </row>
    <row r="80" spans="1:10" x14ac:dyDescent="0.25">
      <c r="A80" s="22" t="s">
        <v>10</v>
      </c>
      <c r="B80" s="3">
        <v>8236000</v>
      </c>
      <c r="C80" s="3">
        <v>9269000</v>
      </c>
      <c r="D80" s="3">
        <v>10560000</v>
      </c>
      <c r="E80" s="3">
        <v>11986500</v>
      </c>
      <c r="F80" s="3">
        <f>F71*F82</f>
        <v>13467814.436539087</v>
      </c>
      <c r="G80" s="3">
        <f t="shared" ref="G80:J80" si="33">G71*G82</f>
        <v>15894037.258196535</v>
      </c>
      <c r="H80" s="3">
        <f t="shared" si="33"/>
        <v>17962641.546839226</v>
      </c>
      <c r="I80" s="3">
        <f t="shared" si="33"/>
        <v>20300474.077084545</v>
      </c>
      <c r="J80" s="3">
        <f t="shared" si="33"/>
        <v>22942574.825632919</v>
      </c>
    </row>
    <row r="81" spans="1:10" x14ac:dyDescent="0.25">
      <c r="A81" s="22" t="s">
        <v>37</v>
      </c>
      <c r="B81" s="3">
        <v>456000</v>
      </c>
      <c r="C81" s="3">
        <v>552000</v>
      </c>
      <c r="D81" s="3">
        <v>621000</v>
      </c>
      <c r="E81" s="3">
        <v>678000</v>
      </c>
      <c r="F81" s="3">
        <f>F72*F83</f>
        <v>882821.37662687525</v>
      </c>
      <c r="G81" s="3">
        <f t="shared" ref="G81:J81" si="34">G72*G83</f>
        <v>1092935.6465865988</v>
      </c>
      <c r="H81" s="3">
        <f t="shared" si="34"/>
        <v>1298410.992668937</v>
      </c>
      <c r="I81" s="3">
        <f t="shared" si="34"/>
        <v>1542516.3513961334</v>
      </c>
      <c r="J81" s="3">
        <f t="shared" si="34"/>
        <v>1832514.2868927615</v>
      </c>
    </row>
    <row r="82" spans="1:10" x14ac:dyDescent="0.25">
      <c r="A82" t="s">
        <v>172</v>
      </c>
      <c r="B82" s="54">
        <f>B80/B71</f>
        <v>0.50039492071207248</v>
      </c>
      <c r="C82" s="54">
        <f t="shared" ref="C82:E82" si="35">C80/C71</f>
        <v>0.49919215855234811</v>
      </c>
      <c r="D82" s="54">
        <f t="shared" si="35"/>
        <v>0.50225921521997619</v>
      </c>
      <c r="E82" s="54">
        <f t="shared" si="35"/>
        <v>0.50452479164912867</v>
      </c>
      <c r="F82" s="54">
        <f>AVERAGE(B82:E82)</f>
        <v>0.50159277153338144</v>
      </c>
      <c r="G82" s="54">
        <f>F82</f>
        <v>0.50159277153338144</v>
      </c>
      <c r="H82" s="54">
        <f t="shared" ref="H82:J82" si="36">G82</f>
        <v>0.50159277153338144</v>
      </c>
      <c r="I82" s="54">
        <f t="shared" si="36"/>
        <v>0.50159277153338144</v>
      </c>
      <c r="J82" s="54">
        <f t="shared" si="36"/>
        <v>0.50159277153338144</v>
      </c>
    </row>
    <row r="83" spans="1:10" x14ac:dyDescent="0.25">
      <c r="A83" t="s">
        <v>173</v>
      </c>
      <c r="B83" s="54">
        <f>B81/B72</f>
        <v>0.28806064434617812</v>
      </c>
      <c r="C83" s="54">
        <f t="shared" ref="C83:E83" si="37">C81/C72</f>
        <v>0.29597855227882036</v>
      </c>
      <c r="D83" s="54">
        <f t="shared" si="37"/>
        <v>0.28048780487804881</v>
      </c>
      <c r="E83" s="54">
        <f t="shared" si="37"/>
        <v>0.25546345139412208</v>
      </c>
      <c r="F83" s="54">
        <f>AVERAGE(B83:E83)</f>
        <v>0.27999761322429234</v>
      </c>
      <c r="G83" s="54">
        <f>F83</f>
        <v>0.27999761322429234</v>
      </c>
      <c r="H83" s="54">
        <f t="shared" ref="H83:J83" si="38">G83</f>
        <v>0.27999761322429234</v>
      </c>
      <c r="I83" s="54">
        <f t="shared" si="38"/>
        <v>0.27999761322429234</v>
      </c>
      <c r="J83" s="54">
        <f t="shared" si="38"/>
        <v>0.27999761322429234</v>
      </c>
    </row>
    <row r="86" spans="1:10" x14ac:dyDescent="0.25">
      <c r="A86" s="38"/>
      <c r="B86" s="31">
        <v>2022</v>
      </c>
      <c r="C86" s="31">
        <v>2023</v>
      </c>
      <c r="D86" s="31">
        <v>2024</v>
      </c>
      <c r="E86" s="31">
        <v>2025</v>
      </c>
      <c r="F86" s="39" t="s">
        <v>66</v>
      </c>
      <c r="G86" s="39" t="s">
        <v>67</v>
      </c>
      <c r="H86" s="39" t="s">
        <v>77</v>
      </c>
      <c r="I86" s="39" t="s">
        <v>161</v>
      </c>
      <c r="J86" s="39" t="s">
        <v>162</v>
      </c>
    </row>
    <row r="87" spans="1:10" x14ac:dyDescent="0.25">
      <c r="A87" s="19" t="s">
        <v>8</v>
      </c>
      <c r="B87" s="2">
        <v>18042000</v>
      </c>
      <c r="C87" s="2">
        <v>20433000</v>
      </c>
      <c r="D87" s="2">
        <v>23239000</v>
      </c>
      <c r="E87" s="2">
        <v>26412000</v>
      </c>
      <c r="F87" s="2">
        <v>30003057.09800116</v>
      </c>
      <c r="G87" s="2">
        <v>35590508.655148253</v>
      </c>
      <c r="H87" s="2">
        <v>40448426.603286713</v>
      </c>
      <c r="I87" s="2">
        <v>45981056.711969294</v>
      </c>
      <c r="J87" s="2">
        <v>52284194.350894816</v>
      </c>
    </row>
    <row r="88" spans="1:10" x14ac:dyDescent="0.25">
      <c r="A88" s="20" t="s">
        <v>12</v>
      </c>
      <c r="B88" s="4">
        <v>192154</v>
      </c>
      <c r="C88" s="4">
        <v>210400</v>
      </c>
      <c r="D88" s="4">
        <v>220000</v>
      </c>
      <c r="E88" s="4">
        <v>225780</v>
      </c>
      <c r="F88" s="4">
        <f>E88+F90*E88</f>
        <v>238337.52173524411</v>
      </c>
      <c r="G88" s="4">
        <f t="shared" ref="G88:J88" si="39">F88+G90*F88</f>
        <v>251593.47270306473</v>
      </c>
      <c r="H88" s="4">
        <f t="shared" si="39"/>
        <v>265586.69841798313</v>
      </c>
      <c r="I88" s="4">
        <f t="shared" si="39"/>
        <v>280358.20491977932</v>
      </c>
      <c r="J88" s="4">
        <f t="shared" si="39"/>
        <v>295951.27893844416</v>
      </c>
    </row>
    <row r="89" spans="1:10" x14ac:dyDescent="0.25">
      <c r="A89" t="s">
        <v>174</v>
      </c>
      <c r="B89" s="54">
        <f>B88/B87</f>
        <v>1.0650371355725529E-2</v>
      </c>
      <c r="C89" s="54">
        <f t="shared" ref="C89:E89" si="40">C88/C87</f>
        <v>1.0297068467674839E-2</v>
      </c>
      <c r="D89" s="54">
        <f t="shared" si="40"/>
        <v>9.4668445285941739E-3</v>
      </c>
      <c r="E89" s="54">
        <f t="shared" si="40"/>
        <v>8.5483870967741939E-3</v>
      </c>
      <c r="F89" s="54">
        <f t="shared" ref="F89" si="41">F88/F87</f>
        <v>7.9437745612637063E-3</v>
      </c>
      <c r="G89" s="54">
        <f t="shared" ref="G89" si="42">G88/G87</f>
        <v>7.069117082334004E-3</v>
      </c>
      <c r="H89" s="54">
        <f t="shared" ref="H89" si="43">H88/H87</f>
        <v>6.5660575879211676E-3</v>
      </c>
      <c r="I89" s="54">
        <f t="shared" ref="I89" si="44">I88/I87</f>
        <v>6.0972544993033945E-3</v>
      </c>
      <c r="J89" s="54">
        <f t="shared" ref="J89" si="45">J88/J87</f>
        <v>5.6604349098740413E-3</v>
      </c>
    </row>
    <row r="90" spans="1:10" x14ac:dyDescent="0.25">
      <c r="A90" s="102" t="s">
        <v>175</v>
      </c>
      <c r="B90" s="102"/>
      <c r="C90" s="103">
        <f>(C88-B88)/B88</f>
        <v>9.4955088106414648E-2</v>
      </c>
      <c r="D90" s="103">
        <f t="shared" ref="D90:E90" si="46">(D88-C88)/C88</f>
        <v>4.5627376425855515E-2</v>
      </c>
      <c r="E90" s="103">
        <f t="shared" si="46"/>
        <v>2.6272727272727274E-2</v>
      </c>
      <c r="F90" s="10">
        <f>AVERAGE(C90:E90)</f>
        <v>5.5618397268332481E-2</v>
      </c>
      <c r="G90" s="10">
        <f>F90</f>
        <v>5.5618397268332481E-2</v>
      </c>
      <c r="H90" s="10">
        <f t="shared" ref="H90:J90" si="47">G90</f>
        <v>5.5618397268332481E-2</v>
      </c>
      <c r="I90" s="10">
        <f t="shared" si="47"/>
        <v>5.5618397268332481E-2</v>
      </c>
      <c r="J90" s="10">
        <f t="shared" si="47"/>
        <v>5.5618397268332481E-2</v>
      </c>
    </row>
    <row r="91" spans="1:10" x14ac:dyDescent="0.25">
      <c r="E91" t="s">
        <v>176</v>
      </c>
      <c r="F91" s="4">
        <f>F87*F89</f>
        <v>238337.52173524408</v>
      </c>
      <c r="G91" s="4">
        <f t="shared" ref="G91:J91" si="48">G87*G89</f>
        <v>251593.47270306473</v>
      </c>
      <c r="H91" s="4">
        <f t="shared" si="48"/>
        <v>265586.69841798313</v>
      </c>
      <c r="I91" s="4">
        <f t="shared" si="48"/>
        <v>280358.20491977932</v>
      </c>
      <c r="J91" s="4">
        <f t="shared" si="48"/>
        <v>295951.27893844416</v>
      </c>
    </row>
    <row r="94" spans="1:10" x14ac:dyDescent="0.25">
      <c r="A94" s="38"/>
      <c r="B94" s="31">
        <v>2022</v>
      </c>
      <c r="C94" s="31">
        <v>2023</v>
      </c>
      <c r="D94" s="31">
        <v>2024</v>
      </c>
      <c r="E94" s="31">
        <v>2025</v>
      </c>
      <c r="F94" s="39" t="s">
        <v>66</v>
      </c>
      <c r="G94" s="39" t="s">
        <v>67</v>
      </c>
      <c r="H94" s="39" t="s">
        <v>77</v>
      </c>
      <c r="I94" s="39" t="s">
        <v>161</v>
      </c>
      <c r="J94" s="39" t="s">
        <v>162</v>
      </c>
    </row>
    <row r="95" spans="1:10" x14ac:dyDescent="0.25">
      <c r="A95" s="22" t="s">
        <v>17</v>
      </c>
      <c r="B95" s="3">
        <v>50000</v>
      </c>
      <c r="C95" s="3">
        <v>52000</v>
      </c>
      <c r="D95" s="3">
        <v>55000</v>
      </c>
      <c r="E95" s="3">
        <v>57000</v>
      </c>
      <c r="F95" s="3">
        <f>E95+E95*F96</f>
        <v>59547.062937062939</v>
      </c>
      <c r="G95" s="3">
        <f t="shared" ref="G95:J95" si="49">F95+F95*G96</f>
        <v>62207.942182991836</v>
      </c>
      <c r="H95" s="3">
        <f t="shared" si="49"/>
        <v>64987.723655364687</v>
      </c>
      <c r="I95" s="3">
        <f t="shared" si="49"/>
        <v>67891.720537586923</v>
      </c>
      <c r="J95" s="3">
        <f t="shared" si="49"/>
        <v>70925.483434336435</v>
      </c>
    </row>
    <row r="96" spans="1:10" x14ac:dyDescent="0.25">
      <c r="C96" s="106">
        <f>(C95-B95)/B95</f>
        <v>0.04</v>
      </c>
      <c r="D96" s="106">
        <f t="shared" ref="D96:E96" si="50">(D95-C95)/C95</f>
        <v>5.7692307692307696E-2</v>
      </c>
      <c r="E96" s="106">
        <f t="shared" si="50"/>
        <v>3.6363636363636362E-2</v>
      </c>
      <c r="F96" s="10">
        <f>AVERAGE(C96:E96)</f>
        <v>4.4685314685314691E-2</v>
      </c>
      <c r="G96" s="10">
        <f>F96</f>
        <v>4.4685314685314691E-2</v>
      </c>
      <c r="H96" s="10">
        <f t="shared" ref="H96:J96" si="51">G96</f>
        <v>4.4685314685314691E-2</v>
      </c>
      <c r="I96" s="10">
        <f t="shared" si="51"/>
        <v>4.4685314685314691E-2</v>
      </c>
      <c r="J96" s="10">
        <f t="shared" si="51"/>
        <v>4.4685314685314691E-2</v>
      </c>
    </row>
    <row r="99" spans="1:10" x14ac:dyDescent="0.25">
      <c r="A99" s="23" t="s">
        <v>20</v>
      </c>
      <c r="B99" s="2">
        <f>B24</f>
        <v>5205405</v>
      </c>
      <c r="C99" s="2">
        <f t="shared" ref="C99:J99" si="52">C24</f>
        <v>6231140</v>
      </c>
      <c r="D99" s="2">
        <f t="shared" si="52"/>
        <v>7561720</v>
      </c>
      <c r="E99" s="2">
        <f t="shared" si="52"/>
        <v>9208220</v>
      </c>
      <c r="F99" s="2">
        <f t="shared" si="52"/>
        <v>10038630.826037016</v>
      </c>
      <c r="G99" s="2">
        <f t="shared" si="52"/>
        <v>11973990.219845045</v>
      </c>
      <c r="H99" s="2">
        <f t="shared" si="52"/>
        <v>13501248.689015931</v>
      </c>
      <c r="I99" s="2">
        <f t="shared" si="52"/>
        <v>15352892.343106424</v>
      </c>
      <c r="J99" s="2">
        <f t="shared" si="52"/>
        <v>17580703.688625034</v>
      </c>
    </row>
    <row r="100" spans="1:10" x14ac:dyDescent="0.25">
      <c r="A100" s="22" t="s">
        <v>21</v>
      </c>
      <c r="B100" s="3">
        <f>B25</f>
        <v>873466.95900000003</v>
      </c>
      <c r="C100" s="3">
        <f t="shared" ref="C100:E100" si="53">C25</f>
        <v>1058047.5719999999</v>
      </c>
      <c r="D100" s="3">
        <f t="shared" si="53"/>
        <v>1228779.5</v>
      </c>
      <c r="E100" s="3">
        <f t="shared" si="53"/>
        <v>1542376.85</v>
      </c>
      <c r="F100" s="3">
        <f>F99*F101</f>
        <v>1675447.4848655779</v>
      </c>
      <c r="G100" s="3">
        <f t="shared" ref="G100:J100" si="54">G99*G101</f>
        <v>1998458.9676921379</v>
      </c>
      <c r="H100" s="3">
        <f t="shared" si="54"/>
        <v>2253358.4061967586</v>
      </c>
      <c r="I100" s="3">
        <f t="shared" si="54"/>
        <v>2562397.7320644623</v>
      </c>
      <c r="J100" s="3">
        <f t="shared" si="54"/>
        <v>2934219.445631518</v>
      </c>
    </row>
    <row r="101" spans="1:10" x14ac:dyDescent="0.25">
      <c r="A101" t="s">
        <v>177</v>
      </c>
      <c r="B101" s="106">
        <f>B100/B99</f>
        <v>0.1678</v>
      </c>
      <c r="C101" s="106">
        <f t="shared" ref="C101:E101" si="55">C100/C99</f>
        <v>0.16979999999999998</v>
      </c>
      <c r="D101" s="106">
        <f t="shared" si="55"/>
        <v>0.16250000000000001</v>
      </c>
      <c r="E101" s="106">
        <f t="shared" si="55"/>
        <v>0.16750000000000001</v>
      </c>
      <c r="F101" s="10">
        <f>AVERAGE(B101:E101)</f>
        <v>0.16689999999999999</v>
      </c>
      <c r="G101" s="10">
        <f>F101</f>
        <v>0.16689999999999999</v>
      </c>
      <c r="H101" s="10">
        <f t="shared" ref="H101:J101" si="56">G101</f>
        <v>0.16689999999999999</v>
      </c>
      <c r="I101" s="10">
        <f t="shared" si="56"/>
        <v>0.16689999999999999</v>
      </c>
      <c r="J101" s="10">
        <f t="shared" si="56"/>
        <v>0.16689999999999999</v>
      </c>
    </row>
  </sheetData>
  <mergeCells count="3">
    <mergeCell ref="A3:I3"/>
    <mergeCell ref="L5:M5"/>
    <mergeCell ref="L26:Q26"/>
  </mergeCells>
  <pageMargins left="0.7" right="0.7" top="0.75" bottom="0.75" header="0.3" footer="0.3"/>
  <pageSetup orientation="portrait" r:id="rId1"/>
  <drawing r:id="rId2"/>
  <legacyDrawing r:id="rId3"/>
  <oleObjects>
    <mc:AlternateContent xmlns:mc="http://schemas.openxmlformats.org/markup-compatibility/2006">
      <mc:Choice Requires="x14">
        <oleObject progId="Equation.3" shapeId="2049" r:id="rId4">
          <objectPr defaultSize="0" autoPict="0" r:id="rId5">
            <anchor moveWithCells="1" sizeWithCells="1">
              <from>
                <xdr:col>13</xdr:col>
                <xdr:colOff>66675</xdr:colOff>
                <xdr:row>33</xdr:row>
                <xdr:rowOff>19050</xdr:rowOff>
              </from>
              <to>
                <xdr:col>19</xdr:col>
                <xdr:colOff>219075</xdr:colOff>
                <xdr:row>36</xdr:row>
                <xdr:rowOff>95250</xdr:rowOff>
              </to>
            </anchor>
          </objectPr>
        </oleObject>
      </mc:Choice>
      <mc:Fallback>
        <oleObject progId="Equation.3" shapeId="2049" r:id="rId4"/>
      </mc:Fallback>
    </mc:AlternateContent>
  </oleObject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F7EDA5-91B4-4EAD-BE1E-EF1BDD550554}">
  <dimension ref="A1:K61"/>
  <sheetViews>
    <sheetView tabSelected="1" zoomScale="120" zoomScaleNormal="120" workbookViewId="0">
      <selection activeCell="E11" sqref="E11"/>
    </sheetView>
  </sheetViews>
  <sheetFormatPr defaultRowHeight="15" x14ac:dyDescent="0.25"/>
  <cols>
    <col min="1" max="1" width="23.5703125" customWidth="1"/>
    <col min="2" max="2" width="16.85546875" customWidth="1"/>
    <col min="3" max="3" width="19.85546875" bestFit="1" customWidth="1"/>
    <col min="4" max="5" width="16.85546875" customWidth="1"/>
    <col min="6" max="6" width="20.140625" customWidth="1"/>
    <col min="7" max="7" width="31.42578125" bestFit="1" customWidth="1"/>
    <col min="8" max="8" width="19.5703125" customWidth="1"/>
    <col min="9" max="9" width="17.42578125" customWidth="1"/>
    <col min="10" max="10" width="14.140625" bestFit="1" customWidth="1"/>
  </cols>
  <sheetData>
    <row r="1" spans="1:9" x14ac:dyDescent="0.25">
      <c r="A1" s="83" t="s">
        <v>80</v>
      </c>
      <c r="B1" s="83"/>
      <c r="C1" s="83"/>
      <c r="G1" s="68" t="s">
        <v>7</v>
      </c>
    </row>
    <row r="3" spans="1:9" x14ac:dyDescent="0.25">
      <c r="A3" s="84" t="s">
        <v>129</v>
      </c>
      <c r="B3" s="85"/>
      <c r="C3" s="85"/>
      <c r="G3" s="88" t="s">
        <v>136</v>
      </c>
      <c r="H3" s="88">
        <v>2026</v>
      </c>
      <c r="I3" s="88">
        <v>2027</v>
      </c>
    </row>
    <row r="4" spans="1:9" x14ac:dyDescent="0.25">
      <c r="A4" s="67" t="s">
        <v>81</v>
      </c>
      <c r="B4" s="67" t="s">
        <v>82</v>
      </c>
      <c r="C4" s="67" t="s">
        <v>83</v>
      </c>
      <c r="D4">
        <v>2026</v>
      </c>
      <c r="E4">
        <v>2027</v>
      </c>
      <c r="G4" s="59" t="s">
        <v>137</v>
      </c>
      <c r="H4" s="6">
        <f>150*80%*2*8*360</f>
        <v>691200</v>
      </c>
      <c r="I4" s="6">
        <f>150*95%*2*8*360</f>
        <v>820800</v>
      </c>
    </row>
    <row r="5" spans="1:9" x14ac:dyDescent="0.25">
      <c r="A5" s="59" t="s">
        <v>84</v>
      </c>
      <c r="B5" s="6">
        <v>1200000</v>
      </c>
      <c r="C5" s="6"/>
      <c r="G5" s="59"/>
      <c r="H5" s="59"/>
      <c r="I5" s="59"/>
    </row>
    <row r="6" spans="1:9" x14ac:dyDescent="0.25">
      <c r="A6" s="59" t="s">
        <v>85</v>
      </c>
      <c r="B6" s="6">
        <v>700000</v>
      </c>
      <c r="C6" s="6">
        <v>25</v>
      </c>
      <c r="D6">
        <f>B6/C6</f>
        <v>28000</v>
      </c>
      <c r="E6">
        <f>D6</f>
        <v>28000</v>
      </c>
      <c r="G6" s="66" t="s">
        <v>138</v>
      </c>
      <c r="H6" s="89">
        <f>H4*B15</f>
        <v>5529600</v>
      </c>
      <c r="I6" s="89">
        <f>I4*C15</f>
        <v>7387200</v>
      </c>
    </row>
    <row r="7" spans="1:9" x14ac:dyDescent="0.25">
      <c r="A7" s="59" t="s">
        <v>86</v>
      </c>
      <c r="B7" s="6">
        <v>500000</v>
      </c>
      <c r="C7" s="6">
        <v>10</v>
      </c>
      <c r="D7">
        <f>B7/C7</f>
        <v>50000</v>
      </c>
      <c r="E7">
        <f>D7</f>
        <v>50000</v>
      </c>
      <c r="G7" s="66" t="s">
        <v>93</v>
      </c>
      <c r="H7" s="89">
        <f>SUM(H8:H11)</f>
        <v>2495232</v>
      </c>
      <c r="I7" s="89">
        <f>SUM(I8:I11)</f>
        <v>2963088</v>
      </c>
    </row>
    <row r="8" spans="1:9" x14ac:dyDescent="0.25">
      <c r="G8" s="59" t="s">
        <v>139</v>
      </c>
      <c r="H8" s="6">
        <f>B19*H4</f>
        <v>76032</v>
      </c>
      <c r="I8" s="6">
        <f>B19*I4</f>
        <v>90288</v>
      </c>
    </row>
    <row r="9" spans="1:9" x14ac:dyDescent="0.25">
      <c r="A9" s="84" t="s">
        <v>90</v>
      </c>
      <c r="B9" s="85"/>
      <c r="C9" s="85"/>
      <c r="G9" s="59" t="s">
        <v>140</v>
      </c>
      <c r="H9" s="6">
        <f>(4*B21+2*B22+1*B23)*H4</f>
        <v>1658880.0000000002</v>
      </c>
      <c r="I9" s="6">
        <f>(4*B21+2*B22+1*B23)*I4</f>
        <v>1969920.0000000002</v>
      </c>
    </row>
    <row r="10" spans="1:9" x14ac:dyDescent="0.25">
      <c r="A10" s="68" t="s">
        <v>130</v>
      </c>
      <c r="B10" s="9">
        <v>150</v>
      </c>
      <c r="C10" s="69" t="s">
        <v>87</v>
      </c>
      <c r="G10" s="59" t="s">
        <v>141</v>
      </c>
      <c r="H10" s="6">
        <f>$B$25*H4</f>
        <v>138240</v>
      </c>
      <c r="I10" s="6">
        <f>$B$25*I4</f>
        <v>164160</v>
      </c>
    </row>
    <row r="11" spans="1:9" x14ac:dyDescent="0.25">
      <c r="A11" t="s">
        <v>88</v>
      </c>
      <c r="G11" s="59" t="s">
        <v>142</v>
      </c>
      <c r="H11" s="6">
        <f>$B$26*H4</f>
        <v>622080</v>
      </c>
      <c r="I11" s="6">
        <f>$B$26*I4</f>
        <v>738720</v>
      </c>
    </row>
    <row r="12" spans="1:9" x14ac:dyDescent="0.25">
      <c r="A12" t="s">
        <v>89</v>
      </c>
      <c r="G12" s="59"/>
      <c r="H12" s="59"/>
      <c r="I12" s="59"/>
    </row>
    <row r="13" spans="1:9" x14ac:dyDescent="0.25">
      <c r="A13" t="s">
        <v>181</v>
      </c>
      <c r="G13" s="66" t="s">
        <v>143</v>
      </c>
      <c r="H13" s="89">
        <f>SUM(B29:B31)</f>
        <v>40000</v>
      </c>
      <c r="I13" s="89">
        <f>H13</f>
        <v>40000</v>
      </c>
    </row>
    <row r="14" spans="1:9" x14ac:dyDescent="0.25">
      <c r="B14">
        <v>2026</v>
      </c>
      <c r="C14">
        <v>2027</v>
      </c>
      <c r="G14" s="59"/>
      <c r="H14" s="59"/>
      <c r="I14" s="59"/>
    </row>
    <row r="15" spans="1:9" x14ac:dyDescent="0.25">
      <c r="A15" s="84" t="s">
        <v>91</v>
      </c>
      <c r="B15" s="84">
        <v>8</v>
      </c>
      <c r="C15" s="84">
        <v>9</v>
      </c>
      <c r="D15" s="86" t="s">
        <v>92</v>
      </c>
      <c r="G15" s="66" t="s">
        <v>144</v>
      </c>
      <c r="H15" s="89">
        <f>H6-H7-H13</f>
        <v>2994368</v>
      </c>
      <c r="I15" s="89">
        <f>I6-I7-I13</f>
        <v>4384112</v>
      </c>
    </row>
    <row r="16" spans="1:9" x14ac:dyDescent="0.25">
      <c r="G16" s="59" t="s">
        <v>145</v>
      </c>
      <c r="H16" s="6">
        <f>SUM(D6:D7)</f>
        <v>78000</v>
      </c>
      <c r="I16" s="6">
        <f>SUM(E6:E7)+E42</f>
        <v>98000</v>
      </c>
    </row>
    <row r="17" spans="1:9" x14ac:dyDescent="0.25">
      <c r="A17" s="84" t="s">
        <v>94</v>
      </c>
      <c r="B17" s="85"/>
      <c r="C17" s="85"/>
      <c r="G17" s="59"/>
      <c r="H17" s="59"/>
      <c r="I17" s="59"/>
    </row>
    <row r="18" spans="1:9" x14ac:dyDescent="0.25">
      <c r="A18" s="67" t="s">
        <v>81</v>
      </c>
      <c r="B18" s="67" t="s">
        <v>95</v>
      </c>
      <c r="C18" s="67" t="s">
        <v>97</v>
      </c>
      <c r="G18" s="66" t="s">
        <v>146</v>
      </c>
      <c r="H18" s="89">
        <f>H15-H16</f>
        <v>2916368</v>
      </c>
      <c r="I18" s="89">
        <f>I15-I16</f>
        <v>4286112</v>
      </c>
    </row>
    <row r="19" spans="1:9" x14ac:dyDescent="0.25">
      <c r="A19" s="59" t="s">
        <v>96</v>
      </c>
      <c r="B19" s="59">
        <v>0.11</v>
      </c>
      <c r="C19" s="71" t="s">
        <v>92</v>
      </c>
      <c r="G19" s="59" t="s">
        <v>154</v>
      </c>
      <c r="H19" s="6">
        <f>D57</f>
        <v>40000</v>
      </c>
      <c r="I19" s="6">
        <f>D58</f>
        <v>32000</v>
      </c>
    </row>
    <row r="20" spans="1:9" x14ac:dyDescent="0.25">
      <c r="A20" s="59" t="s">
        <v>98</v>
      </c>
      <c r="B20" s="59"/>
      <c r="C20" s="59"/>
      <c r="G20" s="59"/>
      <c r="H20" s="59"/>
      <c r="I20" s="59"/>
    </row>
    <row r="21" spans="1:9" x14ac:dyDescent="0.25">
      <c r="A21" s="110" t="s">
        <v>99</v>
      </c>
      <c r="B21" s="110">
        <v>0.4</v>
      </c>
      <c r="C21" s="111" t="s">
        <v>92</v>
      </c>
      <c r="G21" s="66" t="s">
        <v>155</v>
      </c>
      <c r="H21" s="89">
        <f>H18-H19</f>
        <v>2876368</v>
      </c>
      <c r="I21" s="89">
        <f>I18-I19</f>
        <v>4254112</v>
      </c>
    </row>
    <row r="22" spans="1:9" x14ac:dyDescent="0.25">
      <c r="A22" s="110" t="s">
        <v>100</v>
      </c>
      <c r="B22" s="110">
        <v>0.3</v>
      </c>
      <c r="C22" s="111" t="s">
        <v>92</v>
      </c>
      <c r="G22" s="59" t="s">
        <v>156</v>
      </c>
      <c r="H22" s="6">
        <f>H21*16%</f>
        <v>460218.88</v>
      </c>
      <c r="I22" s="6">
        <f>I21*16%</f>
        <v>680657.92000000004</v>
      </c>
    </row>
    <row r="23" spans="1:9" x14ac:dyDescent="0.25">
      <c r="A23" s="110" t="s">
        <v>101</v>
      </c>
      <c r="B23" s="110">
        <v>0.2</v>
      </c>
      <c r="C23" s="111" t="s">
        <v>92</v>
      </c>
      <c r="G23" s="59"/>
      <c r="H23" s="59"/>
      <c r="I23" s="59"/>
    </row>
    <row r="24" spans="1:9" x14ac:dyDescent="0.25">
      <c r="A24" s="59"/>
      <c r="B24" s="59"/>
      <c r="C24" s="59"/>
      <c r="G24" s="66" t="s">
        <v>120</v>
      </c>
      <c r="H24" s="89">
        <f>H21-H22</f>
        <v>2416149.12</v>
      </c>
      <c r="I24" s="89">
        <f>I21-I22</f>
        <v>3573454.08</v>
      </c>
    </row>
    <row r="25" spans="1:9" x14ac:dyDescent="0.25">
      <c r="A25" s="59" t="s">
        <v>102</v>
      </c>
      <c r="B25" s="59">
        <v>0.2</v>
      </c>
      <c r="C25" s="71" t="s">
        <v>92</v>
      </c>
    </row>
    <row r="26" spans="1:9" x14ac:dyDescent="0.25">
      <c r="A26" s="59" t="s">
        <v>103</v>
      </c>
      <c r="B26" s="59">
        <v>0.9</v>
      </c>
      <c r="C26" s="71" t="s">
        <v>92</v>
      </c>
      <c r="G26" s="68" t="s">
        <v>157</v>
      </c>
    </row>
    <row r="27" spans="1:9" x14ac:dyDescent="0.25">
      <c r="G27" s="88" t="s">
        <v>136</v>
      </c>
      <c r="H27" s="88">
        <v>2026</v>
      </c>
      <c r="I27" s="88">
        <v>2027</v>
      </c>
    </row>
    <row r="28" spans="1:9" x14ac:dyDescent="0.25">
      <c r="A28" s="84" t="s">
        <v>104</v>
      </c>
      <c r="B28" s="85"/>
      <c r="C28" s="85"/>
      <c r="G28" s="59" t="s">
        <v>120</v>
      </c>
      <c r="H28" s="6">
        <f>H24</f>
        <v>2416149.12</v>
      </c>
      <c r="I28" s="6">
        <f>I24</f>
        <v>3573454.08</v>
      </c>
    </row>
    <row r="29" spans="1:9" x14ac:dyDescent="0.25">
      <c r="A29" s="59" t="s">
        <v>105</v>
      </c>
      <c r="B29" s="6">
        <v>20000</v>
      </c>
      <c r="C29" s="71" t="s">
        <v>108</v>
      </c>
      <c r="G29" s="59" t="s">
        <v>158</v>
      </c>
      <c r="H29" s="6">
        <f>H19*(1-16%)</f>
        <v>33600</v>
      </c>
      <c r="I29" s="6">
        <f>I19*(1-16%)</f>
        <v>26880</v>
      </c>
    </row>
    <row r="30" spans="1:9" x14ac:dyDescent="0.25">
      <c r="A30" s="59" t="s">
        <v>106</v>
      </c>
      <c r="B30" s="6">
        <v>5000</v>
      </c>
      <c r="C30" s="71" t="s">
        <v>108</v>
      </c>
      <c r="G30" s="59" t="s">
        <v>23</v>
      </c>
      <c r="H30" s="6">
        <f>H16</f>
        <v>78000</v>
      </c>
      <c r="I30" s="6">
        <f>I16</f>
        <v>98000</v>
      </c>
    </row>
    <row r="31" spans="1:9" x14ac:dyDescent="0.25">
      <c r="A31" s="59" t="s">
        <v>107</v>
      </c>
      <c r="B31" s="6">
        <v>15000</v>
      </c>
      <c r="C31" s="71" t="s">
        <v>108</v>
      </c>
      <c r="G31" s="59" t="s">
        <v>24</v>
      </c>
      <c r="H31" s="6">
        <f>D38</f>
        <v>230400</v>
      </c>
      <c r="I31" s="6">
        <f>E38-D38</f>
        <v>77400</v>
      </c>
    </row>
    <row r="32" spans="1:9" x14ac:dyDescent="0.25">
      <c r="G32" s="59" t="s">
        <v>25</v>
      </c>
      <c r="H32" s="6">
        <f>B42</f>
        <v>400000</v>
      </c>
      <c r="I32" s="6">
        <f>SUM(C43:C44)</f>
        <v>720000</v>
      </c>
    </row>
    <row r="33" spans="1:11" x14ac:dyDescent="0.25">
      <c r="G33" s="66" t="s">
        <v>2</v>
      </c>
      <c r="H33" s="89">
        <f>H28+H29+H30-H31-H32</f>
        <v>1897349.1200000001</v>
      </c>
      <c r="I33" s="89">
        <f>I28+I29+I30-I31-I32</f>
        <v>2900934.08</v>
      </c>
    </row>
    <row r="34" spans="1:11" x14ac:dyDescent="0.25">
      <c r="A34" s="84" t="s">
        <v>112</v>
      </c>
      <c r="B34" s="85"/>
      <c r="C34" s="85"/>
      <c r="D34" s="87">
        <v>2026</v>
      </c>
      <c r="E34" s="87">
        <v>2027</v>
      </c>
    </row>
    <row r="35" spans="1:11" x14ac:dyDescent="0.25">
      <c r="A35" s="59" t="s">
        <v>109</v>
      </c>
      <c r="B35" s="59">
        <v>20</v>
      </c>
      <c r="C35" s="94" t="s">
        <v>113</v>
      </c>
      <c r="D35" s="6">
        <f>B35*H6/360</f>
        <v>307200</v>
      </c>
      <c r="E35" s="6">
        <f>B35*I6/360</f>
        <v>410400</v>
      </c>
    </row>
    <row r="36" spans="1:11" x14ac:dyDescent="0.25">
      <c r="A36" s="59" t="s">
        <v>110</v>
      </c>
      <c r="B36" s="59">
        <v>10</v>
      </c>
      <c r="C36" s="94" t="s">
        <v>113</v>
      </c>
      <c r="D36" s="6">
        <f>10*H6/360</f>
        <v>153600</v>
      </c>
      <c r="E36" s="6">
        <f>B36*I6/360</f>
        <v>205200</v>
      </c>
      <c r="G36" s="95" t="s">
        <v>160</v>
      </c>
      <c r="H36" s="96"/>
    </row>
    <row r="37" spans="1:11" x14ac:dyDescent="0.25">
      <c r="A37" s="59" t="s">
        <v>111</v>
      </c>
      <c r="B37" s="59">
        <v>15</v>
      </c>
      <c r="C37" s="94" t="s">
        <v>113</v>
      </c>
      <c r="D37" s="6">
        <f>15*H6/360</f>
        <v>230400</v>
      </c>
      <c r="E37" s="6">
        <f>15*I6/360</f>
        <v>307800</v>
      </c>
    </row>
    <row r="38" spans="1:11" x14ac:dyDescent="0.25">
      <c r="A38" t="s">
        <v>122</v>
      </c>
      <c r="D38" s="56">
        <f>D35+D36-D37</f>
        <v>230400</v>
      </c>
      <c r="E38" s="56">
        <f>E35+E36-E37</f>
        <v>307800</v>
      </c>
      <c r="J38" s="112">
        <f>NPV(12%,H33:I33)</f>
        <v>4006668.6020408156</v>
      </c>
      <c r="K38" t="s">
        <v>185</v>
      </c>
    </row>
    <row r="39" spans="1:11" x14ac:dyDescent="0.25">
      <c r="J39" s="112">
        <f>2000000/(1+12%)^2</f>
        <v>1594387.7551020405</v>
      </c>
      <c r="K39" t="s">
        <v>183</v>
      </c>
    </row>
    <row r="40" spans="1:11" x14ac:dyDescent="0.25">
      <c r="J40" s="112">
        <f>SUM(J38:J39)</f>
        <v>5601056.3571428563</v>
      </c>
      <c r="K40" t="s">
        <v>184</v>
      </c>
    </row>
    <row r="41" spans="1:11" x14ac:dyDescent="0.25">
      <c r="A41" s="87" t="s">
        <v>114</v>
      </c>
      <c r="B41" s="87">
        <v>2026</v>
      </c>
      <c r="C41" s="87">
        <v>2027</v>
      </c>
      <c r="E41" s="68" t="s">
        <v>182</v>
      </c>
    </row>
    <row r="42" spans="1:11" x14ac:dyDescent="0.25">
      <c r="A42" s="59" t="s">
        <v>115</v>
      </c>
      <c r="B42" s="6">
        <v>400000</v>
      </c>
      <c r="C42" s="6"/>
      <c r="E42">
        <f>B42/20</f>
        <v>20000</v>
      </c>
      <c r="G42" t="s">
        <v>131</v>
      </c>
    </row>
    <row r="43" spans="1:11" x14ac:dyDescent="0.25">
      <c r="A43" s="59" t="s">
        <v>116</v>
      </c>
      <c r="B43" s="6"/>
      <c r="C43" s="6">
        <v>20000</v>
      </c>
      <c r="G43" t="s">
        <v>132</v>
      </c>
    </row>
    <row r="44" spans="1:11" x14ac:dyDescent="0.25">
      <c r="A44" s="59" t="s">
        <v>84</v>
      </c>
      <c r="B44" s="59"/>
      <c r="C44" s="6">
        <v>700000</v>
      </c>
    </row>
    <row r="46" spans="1:11" x14ac:dyDescent="0.25">
      <c r="A46" s="84" t="s">
        <v>117</v>
      </c>
      <c r="B46" s="85"/>
      <c r="C46" s="85"/>
      <c r="E46" t="s">
        <v>159</v>
      </c>
    </row>
    <row r="47" spans="1:11" x14ac:dyDescent="0.25">
      <c r="A47" t="s">
        <v>133</v>
      </c>
    </row>
    <row r="48" spans="1:11" x14ac:dyDescent="0.25">
      <c r="A48" t="s">
        <v>147</v>
      </c>
    </row>
    <row r="50" spans="1:7" x14ac:dyDescent="0.25">
      <c r="A50" s="68" t="s">
        <v>134</v>
      </c>
    </row>
    <row r="51" spans="1:7" x14ac:dyDescent="0.25">
      <c r="A51" s="68" t="s">
        <v>163</v>
      </c>
    </row>
    <row r="52" spans="1:7" x14ac:dyDescent="0.25">
      <c r="A52" s="68" t="s">
        <v>164</v>
      </c>
    </row>
    <row r="53" spans="1:7" x14ac:dyDescent="0.25">
      <c r="A53" t="s">
        <v>135</v>
      </c>
    </row>
    <row r="56" spans="1:7" x14ac:dyDescent="0.25">
      <c r="A56" s="70" t="s">
        <v>148</v>
      </c>
      <c r="B56" s="90" t="s">
        <v>151</v>
      </c>
      <c r="C56" s="90" t="s">
        <v>149</v>
      </c>
      <c r="D56" s="92" t="s">
        <v>150</v>
      </c>
      <c r="E56" s="90" t="s">
        <v>153</v>
      </c>
      <c r="F56" s="90" t="s">
        <v>152</v>
      </c>
      <c r="G56" s="59"/>
    </row>
    <row r="57" spans="1:7" x14ac:dyDescent="0.25">
      <c r="A57" s="70">
        <v>2026</v>
      </c>
      <c r="B57" s="91">
        <v>400000</v>
      </c>
      <c r="C57" s="91">
        <f>400000/5</f>
        <v>80000</v>
      </c>
      <c r="D57" s="93">
        <f>10%*B57</f>
        <v>40000</v>
      </c>
      <c r="E57" s="91">
        <f>C57+D57</f>
        <v>120000</v>
      </c>
      <c r="F57" s="91">
        <f>B57-C57</f>
        <v>320000</v>
      </c>
      <c r="G57" s="6"/>
    </row>
    <row r="58" spans="1:7" x14ac:dyDescent="0.25">
      <c r="A58" s="70">
        <v>2027</v>
      </c>
      <c r="B58" s="91">
        <f>F57</f>
        <v>320000</v>
      </c>
      <c r="C58" s="91">
        <f t="shared" ref="C58:C61" si="0">400000/5</f>
        <v>80000</v>
      </c>
      <c r="D58" s="93">
        <f>10%*B58</f>
        <v>32000</v>
      </c>
      <c r="E58" s="91">
        <f>C58+D58</f>
        <v>112000</v>
      </c>
      <c r="F58" s="91">
        <f>B58-C58</f>
        <v>240000</v>
      </c>
      <c r="G58" s="6"/>
    </row>
    <row r="59" spans="1:7" x14ac:dyDescent="0.25">
      <c r="A59" s="70">
        <v>2028</v>
      </c>
      <c r="B59" s="91">
        <f t="shared" ref="B59:B61" si="1">F58</f>
        <v>240000</v>
      </c>
      <c r="C59" s="91">
        <f t="shared" si="0"/>
        <v>80000</v>
      </c>
      <c r="D59" s="93">
        <f t="shared" ref="D59:D61" si="2">10%*B59</f>
        <v>24000</v>
      </c>
      <c r="E59" s="91">
        <f t="shared" ref="E59:E61" si="3">C59+D59</f>
        <v>104000</v>
      </c>
      <c r="F59" s="91">
        <f t="shared" ref="F59:F61" si="4">B59-C59</f>
        <v>160000</v>
      </c>
      <c r="G59" s="6"/>
    </row>
    <row r="60" spans="1:7" x14ac:dyDescent="0.25">
      <c r="A60" s="70">
        <v>2029</v>
      </c>
      <c r="B60" s="91">
        <f t="shared" si="1"/>
        <v>160000</v>
      </c>
      <c r="C60" s="91">
        <f t="shared" si="0"/>
        <v>80000</v>
      </c>
      <c r="D60" s="93">
        <f t="shared" si="2"/>
        <v>16000</v>
      </c>
      <c r="E60" s="91">
        <f t="shared" si="3"/>
        <v>96000</v>
      </c>
      <c r="F60" s="91">
        <f t="shared" si="4"/>
        <v>80000</v>
      </c>
      <c r="G60" s="6"/>
    </row>
    <row r="61" spans="1:7" x14ac:dyDescent="0.25">
      <c r="A61" s="70">
        <v>2030</v>
      </c>
      <c r="B61" s="91">
        <f t="shared" si="1"/>
        <v>80000</v>
      </c>
      <c r="C61" s="91">
        <f t="shared" si="0"/>
        <v>80000</v>
      </c>
      <c r="D61" s="93">
        <f t="shared" si="2"/>
        <v>8000</v>
      </c>
      <c r="E61" s="91">
        <f t="shared" si="3"/>
        <v>88000</v>
      </c>
      <c r="F61" s="91">
        <f t="shared" si="4"/>
        <v>0</v>
      </c>
      <c r="G61" s="6"/>
    </row>
  </sheetData>
  <pageMargins left="0.7" right="0.7" top="0.75" bottom="0.75" header="0.3" footer="0.3"/>
  <pageSetup orientation="portrait" horizontalDpi="0" verticalDpi="0" r:id="rId1"/>
  <drawing r:id="rId2"/>
  <legacyDrawing r:id="rId3"/>
  <oleObjects>
    <mc:AlternateContent xmlns:mc="http://schemas.openxmlformats.org/markup-compatibility/2006">
      <mc:Choice Requires="x14">
        <oleObject progId="Equation.3" shapeId="3073" r:id="rId4">
          <objectPr defaultSize="0" autoPict="0" r:id="rId5">
            <anchor moveWithCells="1" sizeWithCells="1">
              <from>
                <xdr:col>6</xdr:col>
                <xdr:colOff>66675</xdr:colOff>
                <xdr:row>36</xdr:row>
                <xdr:rowOff>161925</xdr:rowOff>
              </from>
              <to>
                <xdr:col>9</xdr:col>
                <xdr:colOff>0</xdr:colOff>
                <xdr:row>40</xdr:row>
                <xdr:rowOff>66675</xdr:rowOff>
              </to>
            </anchor>
          </objectPr>
        </oleObject>
      </mc:Choice>
      <mc:Fallback>
        <oleObject progId="Equation.3" shapeId="3073" r:id="rId4"/>
      </mc:Fallback>
    </mc:AlternateContent>
  </oleObjec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Aplicatie DCF</vt:lpstr>
      <vt:lpstr>SC Brutar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2026-09-10T17:41:26Z</dcterms:modified>
</cp:coreProperties>
</file>