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13_ncr:1_{18145B40-5A55-44E5-9908-2C213183FBC0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Aplicatie DCF" sheetId="7" r:id="rId1"/>
    <sheet name="SC Brutar" sheetId="8" r:id="rId2"/>
  </sheets>
  <definedNames>
    <definedName name="COE">#REF!</definedName>
    <definedName name="Coef2007">#REF!</definedName>
    <definedName name="Coef2008">#REF!</definedName>
    <definedName name="Coef2009">#REF!</definedName>
    <definedName name="Coef2010">#REF!</definedName>
    <definedName name="CoefTarget">#REF!</definedName>
    <definedName name="DPR">#REF!</definedName>
    <definedName name="ede">#REF!</definedName>
    <definedName name="PGR">#REF!</definedName>
    <definedName name="rer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" i="7" l="1"/>
  <c r="E6" i="8"/>
  <c r="D6" i="8"/>
  <c r="D38" i="8" l="1"/>
  <c r="E37" i="8"/>
  <c r="E38" i="8" s="1"/>
  <c r="D37" i="8"/>
  <c r="E36" i="8"/>
  <c r="D36" i="8"/>
  <c r="E35" i="8"/>
  <c r="D35" i="8"/>
  <c r="C59" i="8"/>
  <c r="C60" i="8"/>
  <c r="C61" i="8"/>
  <c r="D58" i="8"/>
  <c r="B58" i="8"/>
  <c r="F57" i="8"/>
  <c r="E57" i="8"/>
  <c r="D57" i="8"/>
  <c r="C58" i="8"/>
  <c r="F58" i="8" s="1"/>
  <c r="B59" i="8" s="1"/>
  <c r="D59" i="8" s="1"/>
  <c r="C57" i="8"/>
  <c r="E42" i="8"/>
  <c r="D7" i="8"/>
  <c r="E7" i="8" s="1"/>
  <c r="M6" i="7"/>
  <c r="M14" i="7"/>
  <c r="H56" i="7"/>
  <c r="G38" i="7"/>
  <c r="E28" i="7"/>
  <c r="E15" i="7"/>
  <c r="H57" i="7" l="1"/>
  <c r="M17" i="7" s="1"/>
  <c r="E59" i="8"/>
  <c r="E58" i="8"/>
  <c r="F59" i="8"/>
  <c r="B60" i="8" s="1"/>
  <c r="C23" i="7"/>
  <c r="F60" i="8" l="1"/>
  <c r="B61" i="8" s="1"/>
  <c r="D60" i="8"/>
  <c r="E60" i="8" s="1"/>
  <c r="B15" i="7"/>
  <c r="C15" i="7"/>
  <c r="D15" i="7"/>
  <c r="D61" i="8" l="1"/>
  <c r="E61" i="8" s="1"/>
  <c r="F61" i="8"/>
  <c r="B63" i="7"/>
  <c r="B65" i="7" s="1"/>
  <c r="B57" i="7"/>
  <c r="B60" i="7" s="1"/>
  <c r="B48" i="7"/>
  <c r="B52" i="7" s="1"/>
  <c r="E23" i="7"/>
  <c r="D23" i="7"/>
  <c r="B23" i="7"/>
  <c r="E9" i="7"/>
  <c r="D9" i="7"/>
  <c r="C9" i="7"/>
  <c r="B9" i="7"/>
  <c r="E6" i="7"/>
  <c r="E52" i="7" s="1"/>
  <c r="D6" i="7"/>
  <c r="C6" i="7"/>
  <c r="B6" i="7"/>
  <c r="G28" i="7" l="1"/>
  <c r="H28" i="7"/>
  <c r="I28" i="7"/>
  <c r="P33" i="7" s="1"/>
  <c r="J28" i="7"/>
  <c r="Q33" i="7" s="1"/>
  <c r="F28" i="7"/>
  <c r="M33" i="7" s="1"/>
  <c r="F27" i="7"/>
  <c r="B12" i="7"/>
  <c r="B20" i="7" s="1"/>
  <c r="B24" i="7" s="1"/>
  <c r="B25" i="7" s="1"/>
  <c r="B26" i="7" s="1"/>
  <c r="B27" i="7" s="1"/>
  <c r="C12" i="7"/>
  <c r="C20" i="7" s="1"/>
  <c r="C24" i="7" s="1"/>
  <c r="C25" i="7" s="1"/>
  <c r="C26" i="7" s="1"/>
  <c r="C27" i="7" s="1"/>
  <c r="D12" i="7"/>
  <c r="D20" i="7" s="1"/>
  <c r="D24" i="7" s="1"/>
  <c r="D25" i="7" s="1"/>
  <c r="D26" i="7" s="1"/>
  <c r="D27" i="7" s="1"/>
  <c r="E12" i="7"/>
  <c r="E20" i="7" s="1"/>
  <c r="E24" i="7" s="1"/>
  <c r="E25" i="7" s="1"/>
  <c r="E26" i="7" s="1"/>
  <c r="E27" i="7" s="1"/>
  <c r="O33" i="7" l="1"/>
  <c r="N33" i="7"/>
  <c r="G27" i="7"/>
  <c r="H27" i="7" l="1"/>
  <c r="J27" i="7" l="1"/>
  <c r="I27" i="7"/>
</calcChain>
</file>

<file path=xl/sharedStrings.xml><?xml version="1.0" encoding="utf-8"?>
<sst xmlns="http://schemas.openxmlformats.org/spreadsheetml/2006/main" count="197" uniqueCount="171">
  <si>
    <t>Marja Bruta</t>
  </si>
  <si>
    <t>Profitul brut din exploatare - EBIT</t>
  </si>
  <si>
    <t>FNNI - CFD</t>
  </si>
  <si>
    <t>FNNI - CFD actualizat</t>
  </si>
  <si>
    <t>Suma FNNI - CFD actualizat</t>
  </si>
  <si>
    <t>Valuarea terminala</t>
  </si>
  <si>
    <t>Valuarea terminala actualizata</t>
  </si>
  <si>
    <t>Valoarea intreprinderii</t>
  </si>
  <si>
    <t>Situatia veniturilor si cheltuielilor</t>
  </si>
  <si>
    <t>Venituri, Total</t>
  </si>
  <si>
    <t>Venituri din marfuri</t>
  </si>
  <si>
    <t>Cheltuieli cu marfurile (cheltuieli variabile)</t>
  </si>
  <si>
    <t>Alte venituri operationale</t>
  </si>
  <si>
    <t>Chetuieli de marketing</t>
  </si>
  <si>
    <t>Salarii</t>
  </si>
  <si>
    <t>Taxe locale</t>
  </si>
  <si>
    <t>Amortizare/Deprecieri</t>
  </si>
  <si>
    <t>Alte cheltuieli operationale</t>
  </si>
  <si>
    <t>Venituri financiare (Conturi curente)</t>
  </si>
  <si>
    <t>Cheltuieli financiare (dobanzi)</t>
  </si>
  <si>
    <t>Rezultat financiar</t>
  </si>
  <si>
    <t>Profitul brut</t>
  </si>
  <si>
    <t xml:space="preserve">Impozitul pe profit </t>
  </si>
  <si>
    <t>Profitul net</t>
  </si>
  <si>
    <t>+Amortizari/Dep</t>
  </si>
  <si>
    <t>- ΔNFR</t>
  </si>
  <si>
    <t>- CAPEX</t>
  </si>
  <si>
    <t>2. Ponderea cheltuielilor variabile se mentine constanta</t>
  </si>
  <si>
    <t>IPOTEZE</t>
  </si>
  <si>
    <t>Scenariul de baza</t>
  </si>
  <si>
    <t>Cheltuieli generale si administrative</t>
  </si>
  <si>
    <t>Rata de actualizare - Costul capitalurilor investite (CMPC)</t>
  </si>
  <si>
    <t>Kcpr</t>
  </si>
  <si>
    <t>Kdatorii</t>
  </si>
  <si>
    <t>Rata de dobanda medie</t>
  </si>
  <si>
    <t>Rata de actualizare</t>
  </si>
  <si>
    <t>Venituri din servicii</t>
  </si>
  <si>
    <t>Costul cu marfurile si serviciile</t>
  </si>
  <si>
    <t>Cheltuieli cu serviciile (cheltuieli variabile)</t>
  </si>
  <si>
    <t xml:space="preserve">7. K - este fundamentat prin CMPC. Societatea activeaza in sectorul retail, iar pentru costul capitalului propriu folosim CAPM. </t>
  </si>
  <si>
    <t>8.Sectorul retail, conform INS are urmatoarele rate de crestere in ultimii ani: 3.7%, 4.2%, 4.1%, 3.9%.  - Va putea avea impact in rata de crestere a CFD (CNNI) de dupa perioada de previziune explicita</t>
  </si>
  <si>
    <t>Activ</t>
  </si>
  <si>
    <t>Active imobilizate</t>
  </si>
  <si>
    <t>Active circulante:</t>
  </si>
  <si>
    <t>- Stocuri</t>
  </si>
  <si>
    <t>- Clienți</t>
  </si>
  <si>
    <t>.- Casa si conturile la banci</t>
  </si>
  <si>
    <t>TOTAL Activ</t>
  </si>
  <si>
    <t>Capitaluri si Datorii</t>
  </si>
  <si>
    <t>Capitaluri proprii</t>
  </si>
  <si>
    <t>Datorii financiare pe TL</t>
  </si>
  <si>
    <t>Datorii curente:</t>
  </si>
  <si>
    <t>- Datorii de exploatare</t>
  </si>
  <si>
    <t>- Credite bancare pe TS</t>
  </si>
  <si>
    <t>TOTAL Capitaluri și datorii</t>
  </si>
  <si>
    <t>Credite</t>
  </si>
  <si>
    <t>Sold credit</t>
  </si>
  <si>
    <t>Rata de dobanda</t>
  </si>
  <si>
    <t>1. Banca Romaneasca</t>
  </si>
  <si>
    <t>2. Raiffeisen Bank</t>
  </si>
  <si>
    <t>3. BCR</t>
  </si>
  <si>
    <t>1.Veniturile din marfuri si servicii isi vor pastra trendul istoric</t>
  </si>
  <si>
    <t>NFR adecvat</t>
  </si>
  <si>
    <t>CPR / (CPR + DAT fin)</t>
  </si>
  <si>
    <t>DAT fin / (CPR+DAT fin)</t>
  </si>
  <si>
    <t>CMPC - Rata de actualizare</t>
  </si>
  <si>
    <t>Valoarea capitalurilor proprii</t>
  </si>
  <si>
    <t>2026e</t>
  </si>
  <si>
    <t>2027e</t>
  </si>
  <si>
    <t>Rf</t>
  </si>
  <si>
    <t>beta</t>
  </si>
  <si>
    <t>prima de piata</t>
  </si>
  <si>
    <t>Valoarea unei actiuni/parti sociale</t>
  </si>
  <si>
    <t>6. NFR - 17,26% din cifra de afaceri</t>
  </si>
  <si>
    <t>FNNI</t>
  </si>
  <si>
    <t>flux net de numerar al intreprinderii</t>
  </si>
  <si>
    <t>VT = CF din ultimul an (1+g) / (k-g)</t>
  </si>
  <si>
    <t>Total actiuni/parti sociale = 1,000,000</t>
  </si>
  <si>
    <t>2028e</t>
  </si>
  <si>
    <t>Bilant 31.12.2023</t>
  </si>
  <si>
    <t>Scopul evaluarii este stabilirea valorii de piata din perspectiva vanzarii societatii</t>
  </si>
  <si>
    <t>BrutarPAN SA</t>
  </si>
  <si>
    <t>Elemente</t>
  </si>
  <si>
    <t>Valoare in lei</t>
  </si>
  <si>
    <t>Durata de amortizare</t>
  </si>
  <si>
    <t>Terenuri</t>
  </si>
  <si>
    <t>Cladiri</t>
  </si>
  <si>
    <t>Utilaje</t>
  </si>
  <si>
    <t>paini/h</t>
  </si>
  <si>
    <t>Productia totala este vanduta</t>
  </si>
  <si>
    <t>2 schimburi, 8 ore/schimb/ 360 zile pe an</t>
  </si>
  <si>
    <t>Gradul de realizare a productiei: 80% (2024) si 95% (2025)</t>
  </si>
  <si>
    <t>Vanzari</t>
  </si>
  <si>
    <t>Pret de vanzare</t>
  </si>
  <si>
    <t>lei/bucata</t>
  </si>
  <si>
    <t>Costuri variabile</t>
  </si>
  <si>
    <t>Costuri variabile (costuri variabile)</t>
  </si>
  <si>
    <t>Valori</t>
  </si>
  <si>
    <t>Faina</t>
  </si>
  <si>
    <t>Unitate de masura</t>
  </si>
  <si>
    <t>Salarii:</t>
  </si>
  <si>
    <t>4 brutari</t>
  </si>
  <si>
    <t>2 soferi</t>
  </si>
  <si>
    <t>1 vanzator</t>
  </si>
  <si>
    <t>Cheltuieli cu energia</t>
  </si>
  <si>
    <t>Alte ch variabile</t>
  </si>
  <si>
    <t>Cheltuieli fixe</t>
  </si>
  <si>
    <t>Utilitati</t>
  </si>
  <si>
    <t>Mentenanta</t>
  </si>
  <si>
    <t>Salarii TESA</t>
  </si>
  <si>
    <t>lei anual</t>
  </si>
  <si>
    <t>Rotatia stocurilor</t>
  </si>
  <si>
    <t>Rotatia creante</t>
  </si>
  <si>
    <t>Plata datoriilor curente</t>
  </si>
  <si>
    <t>Finantarea activitatii curent (rate de rotatie)</t>
  </si>
  <si>
    <t>zile</t>
  </si>
  <si>
    <t>Investitii</t>
  </si>
  <si>
    <t>Cuptor</t>
  </si>
  <si>
    <t>Masina de feliat</t>
  </si>
  <si>
    <t>Finantare pe termen lung</t>
  </si>
  <si>
    <t>3.Cheltuielile cu salariile cresc cu rata inflatiei de 4% annual si va angaja annual salariati noi cu un venit brut incluzand CAM de 850000</t>
  </si>
  <si>
    <t>Medie dobanda</t>
  </si>
  <si>
    <t>Marje de profit</t>
  </si>
  <si>
    <t>Profit net</t>
  </si>
  <si>
    <t>"+Ch dob(1-16%)</t>
  </si>
  <si>
    <t>NFR</t>
  </si>
  <si>
    <t>NFR = Stocurilor + Creantelor - Datoriilor de exploatare</t>
  </si>
  <si>
    <t>NFR / Cifra de afaceri</t>
  </si>
  <si>
    <t>media de crestere a sectorului</t>
  </si>
  <si>
    <t>Pondere capital propriu in total capitaluri</t>
  </si>
  <si>
    <t>Capital propriu / (Capital propriu + datorii pe TL)</t>
  </si>
  <si>
    <t>Datorii pe TL / (Capital propriu + datorii pe TL)</t>
  </si>
  <si>
    <t>Informatii privind activele societatii</t>
  </si>
  <si>
    <t>Capacitate productie</t>
  </si>
  <si>
    <t>Amortizare 20 ani</t>
  </si>
  <si>
    <t>Amortizare 10 ani</t>
  </si>
  <si>
    <t>Credit de 400.000 cu rambursare In 5 ani, dobanda 10%</t>
  </si>
  <si>
    <t>Cerinte</t>
  </si>
  <si>
    <t>c)Estimati valoarea intreprinderii daca k=12%, Valoarea terminala = 2.000.000</t>
  </si>
  <si>
    <t>Element</t>
  </si>
  <si>
    <t>Productia anuala</t>
  </si>
  <si>
    <t>Venituri (Cifra de afaceri)</t>
  </si>
  <si>
    <t xml:space="preserve">   Faina</t>
  </si>
  <si>
    <t xml:space="preserve">   Salarii</t>
  </si>
  <si>
    <t xml:space="preserve">   Energie</t>
  </si>
  <si>
    <t xml:space="preserve">   Alta ch variabile</t>
  </si>
  <si>
    <t>Costuri fixe</t>
  </si>
  <si>
    <t>EBITDA</t>
  </si>
  <si>
    <t>.-cheltuieli cu Amortizarea</t>
  </si>
  <si>
    <t>EBIT</t>
  </si>
  <si>
    <t>Rambursare in rate anuale egale</t>
  </si>
  <si>
    <t>An</t>
  </si>
  <si>
    <t>Principal</t>
  </si>
  <si>
    <t>Dobanda</t>
  </si>
  <si>
    <t>Sold la inceputul anului</t>
  </si>
  <si>
    <t>Sold finalul anului</t>
  </si>
  <si>
    <t>Rata anuala</t>
  </si>
  <si>
    <t>.-Chelt cu dobanda</t>
  </si>
  <si>
    <t>Profit brut</t>
  </si>
  <si>
    <t>Impozit</t>
  </si>
  <si>
    <t>Estimarea cash-flow-urilor disponibile</t>
  </si>
  <si>
    <t>.+Ch dob(1-16%)</t>
  </si>
  <si>
    <t>Durata de rotatie stocurilor = Stocuri / Cifra de afaceri * 360</t>
  </si>
  <si>
    <t>Valoarea intrepriderii</t>
  </si>
  <si>
    <t>2029e</t>
  </si>
  <si>
    <t>2030e</t>
  </si>
  <si>
    <t>a)Estimati venituri, cheltuielile si profitul entitatii in 2026 si 2027</t>
  </si>
  <si>
    <t>b)Estimati CFD in 2026 si 2027</t>
  </si>
  <si>
    <t>4.Taxele locale si restul cheltuielilor se mentin constante cu nivelul din 2025</t>
  </si>
  <si>
    <t xml:space="preserve">5.Societatea va face investitii de 1 mil (finantata din surse proprii) in anul 2026 ceea ce va duce la o crestere a vanzarilor cu 5% din anul urmator. Este vorba de un echipament modern al carei amortizare se realizeaza in 10 ani. </t>
  </si>
  <si>
    <t xml:space="preserve">NFR 2025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</si>
</sst>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0%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11"/>
      <color theme="1"/>
      <name val="Arial"/>
      <family val="2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rgb="FFD8D8D8"/>
        <bgColor rgb="FFD8D8D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D8D8D8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 applyFill="1" applyBorder="1" applyAlignment="1">
      <alignment horizontal="justify" vertical="center" wrapText="1"/>
    </xf>
    <xf numFmtId="3" fontId="4" fillId="5" borderId="1" xfId="0" applyNumberFormat="1" applyFont="1" applyFill="1" applyBorder="1"/>
    <xf numFmtId="3" fontId="5" fillId="0" borderId="1" xfId="0" applyNumberFormat="1" applyFont="1" applyBorder="1"/>
    <xf numFmtId="3" fontId="4" fillId="0" borderId="1" xfId="0" applyNumberFormat="1" applyFont="1" applyBorder="1" applyAlignment="1"/>
    <xf numFmtId="3" fontId="4" fillId="3" borderId="1" xfId="0" applyNumberFormat="1" applyFont="1" applyFill="1" applyBorder="1" applyAlignment="1"/>
    <xf numFmtId="3" fontId="5" fillId="0" borderId="1" xfId="0" applyNumberFormat="1" applyFont="1" applyBorder="1" applyAlignment="1"/>
    <xf numFmtId="3" fontId="0" fillId="0" borderId="1" xfId="0" applyNumberFormat="1" applyFont="1" applyFill="1" applyBorder="1"/>
    <xf numFmtId="0" fontId="0" fillId="0" borderId="0" xfId="0" applyFill="1"/>
    <xf numFmtId="3" fontId="1" fillId="2" borderId="1" xfId="0" applyNumberFormat="1" applyFont="1" applyFill="1" applyBorder="1"/>
    <xf numFmtId="0" fontId="7" fillId="0" borderId="0" xfId="0" applyFont="1" applyFill="1" applyBorder="1" applyAlignment="1">
      <alignment horizontal="justify" vertical="center" wrapText="1"/>
    </xf>
    <xf numFmtId="3" fontId="1" fillId="0" borderId="0" xfId="0" applyNumberFormat="1" applyFont="1" applyFill="1" applyBorder="1"/>
    <xf numFmtId="0" fontId="0" fillId="0" borderId="0" xfId="0" applyFill="1" applyBorder="1"/>
    <xf numFmtId="10" fontId="0" fillId="0" borderId="0" xfId="0" applyNumberFormat="1" applyFill="1" applyBorder="1"/>
    <xf numFmtId="0" fontId="8" fillId="0" borderId="1" xfId="0" applyFont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0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5" xfId="0" applyBorder="1"/>
    <xf numFmtId="0" fontId="3" fillId="5" borderId="7" xfId="0" applyFont="1" applyFill="1" applyBorder="1"/>
    <xf numFmtId="0" fontId="3" fillId="0" borderId="7" xfId="0" applyFont="1" applyBorder="1"/>
    <xf numFmtId="0" fontId="3" fillId="3" borderId="7" xfId="0" applyFont="1" applyFill="1" applyBorder="1"/>
    <xf numFmtId="0" fontId="6" fillId="0" borderId="7" xfId="0" applyFont="1" applyBorder="1"/>
    <xf numFmtId="0" fontId="6" fillId="0" borderId="7" xfId="0" applyFont="1" applyBorder="1" applyAlignment="1"/>
    <xf numFmtId="0" fontId="3" fillId="6" borderId="7" xfId="0" applyFont="1" applyFill="1" applyBorder="1"/>
    <xf numFmtId="0" fontId="3" fillId="0" borderId="5" xfId="0" applyFont="1" applyFill="1" applyBorder="1"/>
    <xf numFmtId="0" fontId="1" fillId="4" borderId="5" xfId="0" applyFont="1" applyFill="1" applyBorder="1"/>
    <xf numFmtId="0" fontId="0" fillId="4" borderId="0" xfId="0" applyFill="1" applyBorder="1"/>
    <xf numFmtId="0" fontId="0" fillId="0" borderId="6" xfId="0" applyFill="1" applyBorder="1"/>
    <xf numFmtId="9" fontId="0" fillId="0" borderId="0" xfId="0" applyNumberFormat="1" applyBorder="1" applyAlignment="1">
      <alignment horizontal="left"/>
    </xf>
    <xf numFmtId="0" fontId="0" fillId="0" borderId="9" xfId="0" applyBorder="1"/>
    <xf numFmtId="0" fontId="0" fillId="0" borderId="10" xfId="0" applyBorder="1"/>
    <xf numFmtId="10" fontId="0" fillId="0" borderId="0" xfId="0" applyNumberFormat="1" applyBorder="1"/>
    <xf numFmtId="0" fontId="0" fillId="0" borderId="8" xfId="0" applyBorder="1"/>
    <xf numFmtId="0" fontId="1" fillId="7" borderId="1" xfId="0" applyFont="1" applyFill="1" applyBorder="1"/>
    <xf numFmtId="3" fontId="1" fillId="2" borderId="12" xfId="0" applyNumberFormat="1" applyFont="1" applyFill="1" applyBorder="1"/>
    <xf numFmtId="0" fontId="8" fillId="2" borderId="11" xfId="0" applyFont="1" applyFill="1" applyBorder="1" applyAlignment="1">
      <alignment horizontal="justify" vertical="center" wrapText="1"/>
    </xf>
    <xf numFmtId="0" fontId="8" fillId="7" borderId="15" xfId="0" applyFont="1" applyFill="1" applyBorder="1" applyAlignment="1">
      <alignment horizontal="justify" vertical="center" wrapText="1"/>
    </xf>
    <xf numFmtId="3" fontId="1" fillId="2" borderId="14" xfId="0" applyNumberFormat="1" applyFont="1" applyFill="1" applyBorder="1"/>
    <xf numFmtId="10" fontId="1" fillId="7" borderId="13" xfId="0" applyNumberFormat="1" applyFont="1" applyFill="1" applyBorder="1"/>
    <xf numFmtId="0" fontId="6" fillId="0" borderId="5" xfId="0" applyFont="1" applyFill="1" applyBorder="1" applyAlignment="1">
      <alignment horizontal="left"/>
    </xf>
    <xf numFmtId="0" fontId="0" fillId="7" borderId="7" xfId="0" applyFill="1" applyBorder="1"/>
    <xf numFmtId="0" fontId="1" fillId="7" borderId="1" xfId="0" applyFont="1" applyFill="1" applyBorder="1" applyAlignment="1">
      <alignment horizontal="right"/>
    </xf>
    <xf numFmtId="0" fontId="3" fillId="8" borderId="7" xfId="0" applyFont="1" applyFill="1" applyBorder="1"/>
    <xf numFmtId="3" fontId="4" fillId="8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0" fillId="9" borderId="1" xfId="0" applyFont="1" applyFill="1" applyBorder="1" applyAlignment="1">
      <alignment vertical="center" wrapText="1"/>
    </xf>
    <xf numFmtId="15" fontId="10" fillId="9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10" fontId="11" fillId="0" borderId="1" xfId="0" applyNumberFormat="1" applyFont="1" applyBorder="1" applyAlignment="1">
      <alignment vertical="center" wrapText="1"/>
    </xf>
    <xf numFmtId="10" fontId="0" fillId="0" borderId="0" xfId="0" applyNumberFormat="1"/>
    <xf numFmtId="0" fontId="13" fillId="2" borderId="1" xfId="0" applyFont="1" applyFill="1" applyBorder="1" applyAlignment="1">
      <alignment horizontal="justify" vertical="center" wrapText="1"/>
    </xf>
    <xf numFmtId="3" fontId="0" fillId="0" borderId="0" xfId="0" applyNumberFormat="1"/>
    <xf numFmtId="0" fontId="3" fillId="10" borderId="5" xfId="0" applyFont="1" applyFill="1" applyBorder="1"/>
    <xf numFmtId="3" fontId="4" fillId="10" borderId="0" xfId="0" applyNumberFormat="1" applyFont="1" applyFill="1" applyBorder="1"/>
    <xf numFmtId="0" fontId="0" fillId="0" borderId="1" xfId="0" applyBorder="1"/>
    <xf numFmtId="10" fontId="0" fillId="0" borderId="1" xfId="0" applyNumberFormat="1" applyBorder="1"/>
    <xf numFmtId="2" fontId="0" fillId="0" borderId="1" xfId="0" applyNumberFormat="1" applyBorder="1"/>
    <xf numFmtId="0" fontId="1" fillId="2" borderId="1" xfId="0" applyFont="1" applyFill="1" applyBorder="1"/>
    <xf numFmtId="165" fontId="1" fillId="2" borderId="1" xfId="0" applyNumberFormat="1" applyFont="1" applyFill="1" applyBorder="1"/>
    <xf numFmtId="10" fontId="2" fillId="2" borderId="1" xfId="0" applyNumberFormat="1" applyFont="1" applyFill="1" applyBorder="1"/>
    <xf numFmtId="0" fontId="13" fillId="2" borderId="12" xfId="0" applyFont="1" applyFill="1" applyBorder="1" applyAlignment="1">
      <alignment horizontal="justify" vertical="center" wrapText="1"/>
    </xf>
    <xf numFmtId="0" fontId="4" fillId="0" borderId="5" xfId="0" applyFont="1" applyFill="1" applyBorder="1"/>
    <xf numFmtId="0" fontId="0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/>
    <xf numFmtId="10" fontId="4" fillId="0" borderId="0" xfId="0" applyNumberFormat="1" applyFont="1" applyFill="1" applyBorder="1"/>
    <xf numFmtId="0" fontId="0" fillId="11" borderId="0" xfId="0" applyFill="1"/>
    <xf numFmtId="3" fontId="5" fillId="11" borderId="1" xfId="0" applyNumberFormat="1" applyFont="1" applyFill="1" applyBorder="1"/>
    <xf numFmtId="10" fontId="1" fillId="0" borderId="0" xfId="0" applyNumberFormat="1" applyFont="1"/>
    <xf numFmtId="10" fontId="7" fillId="0" borderId="0" xfId="0" applyNumberFormat="1" applyFont="1"/>
    <xf numFmtId="10" fontId="1" fillId="7" borderId="1" xfId="0" applyNumberFormat="1" applyFont="1" applyFill="1" applyBorder="1"/>
    <xf numFmtId="0" fontId="8" fillId="7" borderId="16" xfId="0" applyFont="1" applyFill="1" applyBorder="1" applyAlignment="1">
      <alignment horizontal="justify" vertical="center" wrapText="1"/>
    </xf>
    <xf numFmtId="3" fontId="1" fillId="7" borderId="17" xfId="0" applyNumberFormat="1" applyFont="1" applyFill="1" applyBorder="1"/>
    <xf numFmtId="0" fontId="14" fillId="12" borderId="1" xfId="0" applyFont="1" applyFill="1" applyBorder="1" applyAlignment="1">
      <alignment horizontal="justify" vertical="center" wrapText="1"/>
    </xf>
    <xf numFmtId="3" fontId="15" fillId="12" borderId="1" xfId="0" applyNumberFormat="1" applyFont="1" applyFill="1" applyBorder="1"/>
    <xf numFmtId="0" fontId="16" fillId="2" borderId="1" xfId="0" applyFont="1" applyFill="1" applyBorder="1" applyAlignment="1">
      <alignment horizontal="justify" vertical="center" wrapText="1"/>
    </xf>
    <xf numFmtId="2" fontId="15" fillId="0" borderId="1" xfId="0" applyNumberFormat="1" applyFont="1" applyBorder="1"/>
    <xf numFmtId="0" fontId="1" fillId="12" borderId="0" xfId="0" applyFont="1" applyFill="1"/>
    <xf numFmtId="0" fontId="1" fillId="13" borderId="0" xfId="0" applyFont="1" applyFill="1"/>
    <xf numFmtId="0" fontId="0" fillId="13" borderId="0" xfId="0" applyFill="1"/>
    <xf numFmtId="0" fontId="1" fillId="13" borderId="0" xfId="0" applyFont="1" applyFill="1" applyAlignment="1">
      <alignment horizontal="right"/>
    </xf>
    <xf numFmtId="0" fontId="1" fillId="13" borderId="1" xfId="0" applyFont="1" applyFill="1" applyBorder="1"/>
    <xf numFmtId="0" fontId="1" fillId="14" borderId="1" xfId="0" applyFont="1" applyFill="1" applyBorder="1" applyAlignment="1">
      <alignment horizontal="center"/>
    </xf>
    <xf numFmtId="3" fontId="1" fillId="0" borderId="1" xfId="0" applyNumberFormat="1" applyFont="1" applyBorder="1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0" fillId="0" borderId="18" xfId="0" applyBorder="1" applyAlignment="1">
      <alignment horizontal="right"/>
    </xf>
    <xf numFmtId="0" fontId="1" fillId="15" borderId="1" xfId="0" applyFont="1" applyFill="1" applyBorder="1"/>
    <xf numFmtId="3" fontId="1" fillId="15" borderId="1" xfId="0" applyNumberFormat="1" applyFont="1" applyFill="1" applyBorder="1"/>
    <xf numFmtId="0" fontId="1" fillId="4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</cellXfs>
  <cellStyles count="7">
    <cellStyle name="Comma 21 2" xfId="6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  <cellStyle name="Normal 33 2 2" xfId="3" xr:uid="{00000000-0005-0000-0000-000004000000}"/>
    <cellStyle name="Normal 4" xfId="5" xr:uid="{00000000-0005-0000-0000-000005000000}"/>
    <cellStyle name="Percent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295275</xdr:colOff>
          <xdr:row>33</xdr:row>
          <xdr:rowOff>142875</xdr:rowOff>
        </xdr:from>
        <xdr:to>
          <xdr:col>19</xdr:col>
          <xdr:colOff>447675</xdr:colOff>
          <xdr:row>37</xdr:row>
          <xdr:rowOff>28575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117662</xdr:colOff>
      <xdr:row>39</xdr:row>
      <xdr:rowOff>110859</xdr:rowOff>
    </xdr:from>
    <xdr:to>
      <xdr:col>6</xdr:col>
      <xdr:colOff>645272</xdr:colOff>
      <xdr:row>41</xdr:row>
      <xdr:rowOff>97999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117662" y="7798895"/>
              <a:ext cx="7215521" cy="36814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GB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GB"/>
                      <m:t>FNNI</m:t>
                    </m:r>
                    <m:r>
                      <m:rPr>
                        <m:nor/>
                      </m:rPr>
                      <a:rPr lang="en-GB"/>
                      <m:t> </m:t>
                    </m:r>
                    <m:d>
                      <m:dPr>
                        <m:ctrlPr>
                          <a:rPr lang="ro-RO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o-RO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Arial Unicode MS" panose="020B0604020202020204" pitchFamily="34" charset="-128"/>
                            <a:cs typeface="Times New Roman" panose="02020603050405020304" pitchFamily="18" charset="0"/>
                          </a:rPr>
                          <m:t>𝐶𝐹𝐷</m:t>
                        </m:r>
                      </m:e>
                    </m:d>
                    <m:r>
                      <a:rPr lang="ro-RO" i="1">
                        <a:solidFill>
                          <a:srgbClr val="000000"/>
                        </a:solidFill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=</m:t>
                    </m:r>
                    <m:r>
                      <a:rPr lang="en-US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𝑁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𝐶h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𝑑𝑜𝑏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 (1−16%)+</m:t>
                    </m:r>
                    <m:r>
                      <a:rPr lang="en-US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𝐶h</m:t>
                    </m:r>
                    <m:r>
                      <a:rPr lang="en-US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</m:t>
                    </m:r>
                    <m:r>
                      <a:rPr lang="ro-RO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𝐴𝑚𝑜𝑟𝑡𝑖𝑧𝑎𝑟𝑒</m:t>
                    </m:r>
                    <m:r>
                      <a:rPr lang="ro-RO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(±) ∆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𝑁𝐹𝑅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−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𝐶𝐴𝑃𝐸𝑋</m:t>
                    </m:r>
                  </m:oMath>
                </m:oMathPara>
              </a14:m>
              <a:endParaRPr lang="en-GB" sz="1600">
                <a:solidFill>
                  <a:srgbClr val="000000"/>
                </a:solidFill>
                <a:effectLst/>
                <a:latin typeface="Helvetica" panose="020B0604020202020204" pitchFamily="34" charset="0"/>
                <a:ea typeface="Arial Unicode MS" panose="020B0604020202020204" pitchFamily="34" charset="-128"/>
                <a:cs typeface="Arial Unicode MS" panose="020B0604020202020204" pitchFamily="34" charset="-128"/>
              </a:endParaRPr>
            </a:p>
          </xdr:txBody>
        </xdr:sp>
      </mc:Choice>
      <mc:Fallback xmlns=""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117662" y="7798895"/>
              <a:ext cx="7215521" cy="36814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GB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9pPr>
            </a:lstStyle>
            <a:p>
              <a:pPr/>
              <a:r>
                <a:rPr lang="en-GB" i="0">
                  <a:latin typeface="Cambria Math" panose="02040503050406030204" pitchFamily="18" charset="0"/>
                </a:rPr>
                <a:t>"FNNI </a:t>
              </a:r>
              <a:r>
                <a:rPr lang="ro-RO" b="0" i="0">
                  <a:latin typeface="Cambria Math" panose="02040503050406030204" pitchFamily="18" charset="0"/>
                </a:rPr>
                <a:t>" (</a:t>
              </a:r>
              <a:r>
                <a:rPr lang="ro-RO" i="0">
                  <a:solidFill>
                    <a:srgbClr val="000000"/>
                  </a:solidFill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𝐶𝐹𝐷)=</a:t>
              </a:r>
              <a:r>
                <a:rPr lang="en-US" i="0">
                  <a:latin typeface="Cambria Math" panose="02040503050406030204" pitchFamily="18" charset="0"/>
                </a:rPr>
                <a:t>𝑃</a:t>
              </a:r>
              <a:r>
                <a:rPr lang="en-US" b="0" i="0">
                  <a:latin typeface="Cambria Math" panose="02040503050406030204" pitchFamily="18" charset="0"/>
                </a:rPr>
                <a:t>𝑁+𝐶ℎ 𝑑𝑜𝑏 (1−16%)+</a:t>
              </a:r>
              <a:r>
                <a:rPr lang="en-US" sz="18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𝐶ℎ </a:t>
              </a:r>
              <a:r>
                <a:rPr lang="ro-RO" sz="18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𝐴𝑚𝑜𝑟𝑡𝑖𝑧𝑎𝑟𝑒 (±) ∆</a:t>
              </a:r>
              <a:r>
                <a:rPr lang="ro-RO" sz="180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𝑁𝐹𝑅 −𝐶𝐴𝑃𝐸𝑋</a:t>
              </a:r>
              <a:endParaRPr lang="en-GB" sz="1600">
                <a:solidFill>
                  <a:srgbClr val="000000"/>
                </a:solidFill>
                <a:effectLst/>
                <a:latin typeface="Helvetica" panose="020B0604020202020204" pitchFamily="34" charset="0"/>
                <a:ea typeface="Arial Unicode MS" panose="020B0604020202020204" pitchFamily="34" charset="-128"/>
                <a:cs typeface="Arial Unicode MS" panose="020B0604020202020204" pitchFamily="34" charset="-128"/>
              </a:endParaRP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36</xdr:row>
          <xdr:rowOff>161925</xdr:rowOff>
        </xdr:from>
        <xdr:to>
          <xdr:col>9</xdr:col>
          <xdr:colOff>0</xdr:colOff>
          <xdr:row>40</xdr:row>
          <xdr:rowOff>66675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5"/>
  <sheetViews>
    <sheetView topLeftCell="D1" zoomScale="110" zoomScaleNormal="110" zoomScaleSheetLayoutView="136" workbookViewId="0">
      <pane ySplit="5" topLeftCell="A26" activePane="bottomLeft" state="frozen"/>
      <selection pane="bottomLeft" activeCell="L47" sqref="L47"/>
    </sheetView>
  </sheetViews>
  <sheetFormatPr defaultRowHeight="15" x14ac:dyDescent="0.25"/>
  <cols>
    <col min="1" max="1" width="39.5703125" customWidth="1"/>
    <col min="2" max="10" width="12.140625" customWidth="1"/>
    <col min="11" max="11" width="11.7109375" customWidth="1"/>
    <col min="12" max="12" width="39.140625" bestFit="1" customWidth="1"/>
    <col min="13" max="13" width="12.7109375" customWidth="1"/>
    <col min="14" max="17" width="11.7109375" customWidth="1"/>
  </cols>
  <sheetData>
    <row r="1" spans="1:18" ht="16.5" thickBot="1" x14ac:dyDescent="0.3">
      <c r="A1" s="1" t="s">
        <v>29</v>
      </c>
    </row>
    <row r="2" spans="1:18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9"/>
    </row>
    <row r="3" spans="1:18" x14ac:dyDescent="0.25">
      <c r="A3" s="111" t="s">
        <v>8</v>
      </c>
      <c r="B3" s="112"/>
      <c r="C3" s="112"/>
      <c r="D3" s="112"/>
      <c r="E3" s="112"/>
      <c r="F3" s="112"/>
      <c r="G3" s="112"/>
      <c r="H3" s="112"/>
      <c r="I3" s="112"/>
      <c r="J3" s="49"/>
      <c r="K3" s="20"/>
      <c r="L3" s="20"/>
      <c r="M3" s="20" t="s">
        <v>74</v>
      </c>
      <c r="N3" s="20" t="s">
        <v>75</v>
      </c>
      <c r="O3" s="20"/>
      <c r="P3" s="20"/>
      <c r="Q3" s="20"/>
      <c r="R3" s="21"/>
    </row>
    <row r="4" spans="1:18" x14ac:dyDescent="0.25">
      <c r="A4" s="22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30.75" customHeight="1" x14ac:dyDescent="0.25">
      <c r="A5" s="45"/>
      <c r="B5" s="38">
        <v>2022</v>
      </c>
      <c r="C5" s="38">
        <v>2023</v>
      </c>
      <c r="D5" s="38">
        <v>2024</v>
      </c>
      <c r="E5" s="38">
        <v>2025</v>
      </c>
      <c r="F5" s="46" t="s">
        <v>67</v>
      </c>
      <c r="G5" s="46" t="s">
        <v>68</v>
      </c>
      <c r="H5" s="46" t="s">
        <v>78</v>
      </c>
      <c r="I5" s="46" t="s">
        <v>164</v>
      </c>
      <c r="J5" s="46" t="s">
        <v>165</v>
      </c>
      <c r="K5" s="20"/>
      <c r="L5" s="113" t="s">
        <v>31</v>
      </c>
      <c r="M5" s="113"/>
      <c r="N5" s="20"/>
      <c r="O5" s="20"/>
      <c r="P5" s="20"/>
      <c r="Q5" s="20"/>
      <c r="R5" s="21"/>
    </row>
    <row r="6" spans="1:18" ht="15.75" x14ac:dyDescent="0.25">
      <c r="A6" s="23" t="s">
        <v>9</v>
      </c>
      <c r="B6" s="2">
        <f>B7+B8</f>
        <v>18042000</v>
      </c>
      <c r="C6" s="2">
        <f t="shared" ref="C6:E6" si="0">C7+C8</f>
        <v>20433000</v>
      </c>
      <c r="D6" s="2">
        <f t="shared" si="0"/>
        <v>23239000</v>
      </c>
      <c r="E6" s="2">
        <f t="shared" si="0"/>
        <v>26412000</v>
      </c>
      <c r="F6" s="2"/>
      <c r="G6" s="2"/>
      <c r="H6" s="2"/>
      <c r="I6" s="2"/>
      <c r="J6" s="2"/>
      <c r="K6" s="20"/>
      <c r="L6" s="70" t="s">
        <v>32</v>
      </c>
      <c r="M6" s="72">
        <f>M7+M8*M9</f>
        <v>0</v>
      </c>
      <c r="N6" s="20"/>
      <c r="O6" s="20"/>
      <c r="P6" s="20"/>
      <c r="Q6" s="20"/>
      <c r="R6" s="21"/>
    </row>
    <row r="7" spans="1:18" x14ac:dyDescent="0.25">
      <c r="A7" s="26" t="s">
        <v>10</v>
      </c>
      <c r="B7" s="3">
        <v>16459000</v>
      </c>
      <c r="C7" s="3">
        <v>18568000</v>
      </c>
      <c r="D7" s="3">
        <v>21025000</v>
      </c>
      <c r="E7" s="3">
        <v>23758000</v>
      </c>
      <c r="F7" s="3"/>
      <c r="G7" s="3"/>
      <c r="H7" s="3"/>
      <c r="I7" s="3"/>
      <c r="J7" s="3"/>
      <c r="K7" s="20"/>
      <c r="L7" s="67" t="s">
        <v>69</v>
      </c>
      <c r="M7" s="68"/>
      <c r="N7" s="20"/>
      <c r="O7" s="20"/>
      <c r="P7" s="20"/>
      <c r="Q7" s="20"/>
      <c r="R7" s="21"/>
    </row>
    <row r="8" spans="1:18" x14ac:dyDescent="0.25">
      <c r="A8" s="26" t="s">
        <v>36</v>
      </c>
      <c r="B8" s="3">
        <v>1583000</v>
      </c>
      <c r="C8" s="3">
        <v>1865000</v>
      </c>
      <c r="D8" s="3">
        <v>2214000</v>
      </c>
      <c r="E8" s="3">
        <v>2654000</v>
      </c>
      <c r="F8" s="3"/>
      <c r="G8" s="3"/>
      <c r="H8" s="3"/>
      <c r="I8" s="3"/>
      <c r="J8" s="3"/>
      <c r="K8" s="20"/>
      <c r="L8" s="67" t="s">
        <v>70</v>
      </c>
      <c r="M8" s="69"/>
      <c r="N8" s="20"/>
      <c r="O8" s="20"/>
      <c r="P8" s="20"/>
      <c r="Q8" s="20"/>
      <c r="R8" s="21"/>
    </row>
    <row r="9" spans="1:18" ht="15.75" x14ac:dyDescent="0.25">
      <c r="A9" s="23" t="s">
        <v>37</v>
      </c>
      <c r="B9" s="2">
        <f>B10+B11</f>
        <v>8692000</v>
      </c>
      <c r="C9" s="2">
        <f t="shared" ref="C9:E9" si="1">C10+C11</f>
        <v>9821000</v>
      </c>
      <c r="D9" s="2">
        <f t="shared" si="1"/>
        <v>11181000</v>
      </c>
      <c r="E9" s="2">
        <f t="shared" si="1"/>
        <v>12664500</v>
      </c>
      <c r="F9" s="2"/>
      <c r="G9" s="2"/>
      <c r="H9" s="2"/>
      <c r="I9" s="2"/>
      <c r="J9" s="2"/>
      <c r="K9" s="20"/>
      <c r="L9" s="67" t="s">
        <v>71</v>
      </c>
      <c r="M9" s="89"/>
      <c r="N9" s="20"/>
      <c r="O9" s="20"/>
      <c r="P9" s="20"/>
      <c r="Q9" s="20"/>
      <c r="R9" s="21"/>
    </row>
    <row r="10" spans="1:18" x14ac:dyDescent="0.25">
      <c r="A10" s="26" t="s">
        <v>11</v>
      </c>
      <c r="B10" s="3">
        <v>8236000</v>
      </c>
      <c r="C10" s="3">
        <v>9269000</v>
      </c>
      <c r="D10" s="3">
        <v>10560000</v>
      </c>
      <c r="E10" s="3">
        <v>11986500</v>
      </c>
      <c r="F10" s="3"/>
      <c r="G10" s="3"/>
      <c r="H10" s="3"/>
      <c r="I10" s="3"/>
      <c r="J10" s="3"/>
      <c r="K10" s="20"/>
      <c r="L10" s="67"/>
      <c r="M10" s="67"/>
      <c r="N10" s="20"/>
      <c r="O10" s="20"/>
      <c r="P10" s="20"/>
      <c r="Q10" s="20"/>
      <c r="R10" s="21"/>
    </row>
    <row r="11" spans="1:18" x14ac:dyDescent="0.25">
      <c r="A11" s="26" t="s">
        <v>38</v>
      </c>
      <c r="B11" s="3">
        <v>456000</v>
      </c>
      <c r="C11" s="3">
        <v>552000</v>
      </c>
      <c r="D11" s="3">
        <v>621000</v>
      </c>
      <c r="E11" s="3">
        <v>678000</v>
      </c>
      <c r="F11" s="3"/>
      <c r="G11" s="3"/>
      <c r="H11" s="3"/>
      <c r="I11" s="3"/>
      <c r="J11" s="3"/>
      <c r="K11" s="20"/>
      <c r="L11" s="67" t="s">
        <v>63</v>
      </c>
      <c r="M11" s="68"/>
      <c r="N11" s="20"/>
      <c r="O11" s="20"/>
      <c r="P11" s="20"/>
      <c r="Q11" s="20"/>
      <c r="R11" s="21"/>
    </row>
    <row r="12" spans="1:18" x14ac:dyDescent="0.25">
      <c r="A12" s="23" t="s">
        <v>0</v>
      </c>
      <c r="B12" s="2">
        <f>B6-B9</f>
        <v>9350000</v>
      </c>
      <c r="C12" s="2">
        <f>C6-C9</f>
        <v>10612000</v>
      </c>
      <c r="D12" s="2">
        <f>D6-D9</f>
        <v>12058000</v>
      </c>
      <c r="E12" s="2">
        <f>E6-E9</f>
        <v>13747500</v>
      </c>
      <c r="F12" s="2"/>
      <c r="G12" s="2"/>
      <c r="H12" s="2"/>
      <c r="I12" s="2"/>
      <c r="J12" s="2"/>
      <c r="K12" s="20"/>
      <c r="L12" s="67" t="s">
        <v>64</v>
      </c>
      <c r="M12" s="68"/>
      <c r="N12" s="20"/>
      <c r="O12" s="20"/>
      <c r="P12" s="20"/>
      <c r="Q12" s="20"/>
      <c r="R12" s="21"/>
    </row>
    <row r="13" spans="1:18" x14ac:dyDescent="0.25">
      <c r="A13" s="24" t="s">
        <v>12</v>
      </c>
      <c r="B13" s="4">
        <v>850000</v>
      </c>
      <c r="C13" s="4">
        <v>869000</v>
      </c>
      <c r="D13" s="4">
        <v>845000</v>
      </c>
      <c r="E13" s="4">
        <v>852000</v>
      </c>
      <c r="F13" s="4"/>
      <c r="G13" s="4"/>
      <c r="H13" s="4"/>
      <c r="I13" s="4"/>
      <c r="J13" s="4"/>
      <c r="K13" s="20"/>
      <c r="L13" s="67"/>
      <c r="M13" s="68"/>
      <c r="N13" s="20"/>
      <c r="O13" s="20"/>
      <c r="P13" s="20"/>
      <c r="Q13" s="20"/>
      <c r="R13" s="21"/>
    </row>
    <row r="14" spans="1:18" x14ac:dyDescent="0.25">
      <c r="A14" s="24" t="s">
        <v>13</v>
      </c>
      <c r="B14" s="4">
        <v>192154</v>
      </c>
      <c r="C14" s="4">
        <v>210400</v>
      </c>
      <c r="D14" s="4">
        <v>220000</v>
      </c>
      <c r="E14" s="4">
        <v>225780</v>
      </c>
      <c r="F14" s="4"/>
      <c r="G14" s="4"/>
      <c r="H14" s="4"/>
      <c r="I14" s="4"/>
      <c r="J14" s="4"/>
      <c r="K14" s="20"/>
      <c r="L14" s="70" t="s">
        <v>33</v>
      </c>
      <c r="M14" s="71">
        <f>M15*(1-16%)</f>
        <v>0</v>
      </c>
      <c r="N14" s="20"/>
      <c r="O14" s="20"/>
      <c r="P14" s="20"/>
      <c r="Q14" s="20"/>
      <c r="R14" s="21"/>
    </row>
    <row r="15" spans="1:18" x14ac:dyDescent="0.25">
      <c r="A15" s="25" t="s">
        <v>30</v>
      </c>
      <c r="B15" s="5">
        <f t="shared" ref="B15:D15" si="2">B16+B17+B18</f>
        <v>3942441</v>
      </c>
      <c r="C15" s="5">
        <f t="shared" si="2"/>
        <v>4181460</v>
      </c>
      <c r="D15" s="5">
        <f t="shared" si="2"/>
        <v>4266280</v>
      </c>
      <c r="E15" s="5">
        <f>E16+E17+E18</f>
        <v>4312500</v>
      </c>
      <c r="F15" s="5"/>
      <c r="G15" s="5"/>
      <c r="H15" s="5"/>
      <c r="I15" s="5"/>
      <c r="J15" s="5"/>
      <c r="K15" s="20"/>
      <c r="L15" s="67" t="s">
        <v>34</v>
      </c>
      <c r="M15" s="68">
        <f>F63</f>
        <v>0</v>
      </c>
      <c r="N15" s="20"/>
      <c r="O15" s="20"/>
      <c r="P15" s="20"/>
      <c r="Q15" s="20"/>
      <c r="R15" s="21"/>
    </row>
    <row r="16" spans="1:18" x14ac:dyDescent="0.25">
      <c r="A16" s="26" t="s">
        <v>14</v>
      </c>
      <c r="B16" s="6">
        <v>2542441</v>
      </c>
      <c r="C16" s="6">
        <v>2781460</v>
      </c>
      <c r="D16" s="3">
        <v>2866280</v>
      </c>
      <c r="E16" s="3">
        <v>2912500</v>
      </c>
      <c r="F16" s="3"/>
      <c r="G16" s="3"/>
      <c r="H16" s="3"/>
      <c r="I16" s="3"/>
      <c r="J16" s="3"/>
      <c r="K16" s="20"/>
      <c r="L16" s="67"/>
      <c r="M16" s="67"/>
      <c r="N16" s="20"/>
      <c r="O16" s="20"/>
      <c r="P16" s="20"/>
      <c r="Q16" s="20"/>
      <c r="R16" s="21"/>
    </row>
    <row r="17" spans="1:18" x14ac:dyDescent="0.25">
      <c r="A17" s="27" t="s">
        <v>15</v>
      </c>
      <c r="B17" s="6">
        <v>150000</v>
      </c>
      <c r="C17" s="6">
        <v>150000</v>
      </c>
      <c r="D17" s="6">
        <v>150000</v>
      </c>
      <c r="E17" s="6">
        <v>150000</v>
      </c>
      <c r="F17" s="6"/>
      <c r="G17" s="6"/>
      <c r="H17" s="6"/>
      <c r="I17" s="6"/>
      <c r="J17" s="6"/>
      <c r="K17" s="20"/>
      <c r="L17" s="38" t="s">
        <v>65</v>
      </c>
      <c r="M17" s="90">
        <f>M6*M11+M14*M12</f>
        <v>0</v>
      </c>
      <c r="N17" s="20"/>
      <c r="O17" s="20"/>
      <c r="P17" s="20"/>
      <c r="Q17" s="20"/>
      <c r="R17" s="21"/>
    </row>
    <row r="18" spans="1:18" x14ac:dyDescent="0.25">
      <c r="A18" s="27" t="s">
        <v>16</v>
      </c>
      <c r="B18" s="6">
        <v>1250000</v>
      </c>
      <c r="C18" s="6">
        <v>1250000</v>
      </c>
      <c r="D18" s="6">
        <v>1250000</v>
      </c>
      <c r="E18" s="6">
        <v>1250000</v>
      </c>
      <c r="F18" s="6"/>
      <c r="G18" s="6"/>
      <c r="H18" s="6"/>
      <c r="I18" s="6"/>
      <c r="J18" s="6"/>
      <c r="K18" s="20"/>
      <c r="L18" s="20"/>
      <c r="M18" s="20"/>
      <c r="N18" s="20"/>
      <c r="O18" s="20"/>
      <c r="P18" s="20"/>
      <c r="Q18" s="20"/>
      <c r="R18" s="21"/>
    </row>
    <row r="19" spans="1:18" x14ac:dyDescent="0.25">
      <c r="A19" s="24" t="s">
        <v>17</v>
      </c>
      <c r="B19" s="4">
        <v>50000</v>
      </c>
      <c r="C19" s="4">
        <v>50000</v>
      </c>
      <c r="D19" s="4">
        <v>50000</v>
      </c>
      <c r="E19" s="4">
        <v>50000</v>
      </c>
      <c r="F19" s="4"/>
      <c r="G19" s="4"/>
      <c r="H19" s="4"/>
      <c r="I19" s="4"/>
      <c r="J19" s="4"/>
      <c r="K19" s="20"/>
      <c r="L19" s="20"/>
      <c r="M19" s="20"/>
      <c r="N19" s="20"/>
      <c r="O19" s="20"/>
      <c r="P19" s="20"/>
      <c r="Q19" s="20"/>
      <c r="R19" s="21"/>
    </row>
    <row r="20" spans="1:18" x14ac:dyDescent="0.25">
      <c r="A20" s="23" t="s">
        <v>1</v>
      </c>
      <c r="B20" s="2">
        <f>B12+B13-B14-B15-B19</f>
        <v>6015405</v>
      </c>
      <c r="C20" s="2">
        <f t="shared" ref="C20:E20" si="3">C12+C13-C14-C15-C19</f>
        <v>7039140</v>
      </c>
      <c r="D20" s="2">
        <f t="shared" si="3"/>
        <v>8366720</v>
      </c>
      <c r="E20" s="2">
        <f t="shared" si="3"/>
        <v>10011220</v>
      </c>
      <c r="F20" s="2"/>
      <c r="G20" s="2"/>
      <c r="H20" s="2"/>
      <c r="I20" s="2"/>
      <c r="J20" s="2"/>
      <c r="K20" s="20"/>
      <c r="L20" s="20"/>
      <c r="M20" s="20"/>
      <c r="N20" s="20"/>
      <c r="O20" s="20"/>
      <c r="P20" s="20"/>
      <c r="Q20" s="20"/>
      <c r="R20" s="21"/>
    </row>
    <row r="21" spans="1:18" x14ac:dyDescent="0.25">
      <c r="A21" s="26" t="s">
        <v>18</v>
      </c>
      <c r="B21" s="3">
        <v>50000</v>
      </c>
      <c r="C21" s="3">
        <v>52000</v>
      </c>
      <c r="D21" s="3">
        <v>55000</v>
      </c>
      <c r="E21" s="3">
        <v>57000</v>
      </c>
      <c r="F21" s="3"/>
      <c r="G21" s="3"/>
      <c r="H21" s="3"/>
      <c r="I21" s="3"/>
      <c r="J21" s="3"/>
      <c r="K21" s="20"/>
      <c r="L21" s="20"/>
      <c r="M21" s="20"/>
      <c r="N21" s="20"/>
      <c r="O21" s="20"/>
      <c r="P21" s="20"/>
      <c r="Q21" s="20"/>
      <c r="R21" s="21"/>
    </row>
    <row r="22" spans="1:18" x14ac:dyDescent="0.25">
      <c r="A22" s="26" t="s">
        <v>19</v>
      </c>
      <c r="B22" s="3">
        <v>860000</v>
      </c>
      <c r="C22" s="3">
        <v>860000</v>
      </c>
      <c r="D22" s="3">
        <v>860000</v>
      </c>
      <c r="E22" s="3">
        <v>860000</v>
      </c>
      <c r="F22" s="3"/>
      <c r="G22" s="3"/>
      <c r="H22" s="3"/>
      <c r="I22" s="3"/>
      <c r="J22" s="3"/>
      <c r="K22" s="20"/>
      <c r="L22" s="20"/>
      <c r="M22" s="20"/>
      <c r="N22" s="20"/>
      <c r="O22" s="20"/>
      <c r="P22" s="20"/>
      <c r="Q22" s="20"/>
      <c r="R22" s="21"/>
    </row>
    <row r="23" spans="1:18" x14ac:dyDescent="0.25">
      <c r="A23" s="28" t="s">
        <v>20</v>
      </c>
      <c r="B23" s="2">
        <f t="shared" ref="B23" si="4">B21-B22</f>
        <v>-810000</v>
      </c>
      <c r="C23" s="2">
        <f>C21-C22</f>
        <v>-808000</v>
      </c>
      <c r="D23" s="2">
        <f t="shared" ref="D23:E23" si="5">D21-D22</f>
        <v>-805000</v>
      </c>
      <c r="E23" s="2">
        <f t="shared" si="5"/>
        <v>-803000</v>
      </c>
      <c r="F23" s="2"/>
      <c r="G23" s="2"/>
      <c r="H23" s="2"/>
      <c r="I23" s="2"/>
      <c r="J23" s="2"/>
      <c r="K23" s="20"/>
      <c r="L23" s="20"/>
      <c r="M23" s="20"/>
      <c r="N23" s="20"/>
      <c r="O23" s="20"/>
      <c r="P23" s="20"/>
      <c r="Q23" s="20"/>
      <c r="R23" s="21"/>
    </row>
    <row r="24" spans="1:18" x14ac:dyDescent="0.25">
      <c r="A24" s="28" t="s">
        <v>21</v>
      </c>
      <c r="B24" s="2">
        <f t="shared" ref="B24" si="6">B20+B23</f>
        <v>5205405</v>
      </c>
      <c r="C24" s="2">
        <f>C20+C23</f>
        <v>6231140</v>
      </c>
      <c r="D24" s="2">
        <f t="shared" ref="D24:E24" si="7">D20+D23</f>
        <v>7561720</v>
      </c>
      <c r="E24" s="2">
        <f t="shared" si="7"/>
        <v>9208220</v>
      </c>
      <c r="F24" s="2"/>
      <c r="G24" s="2"/>
      <c r="H24" s="2"/>
      <c r="I24" s="2"/>
      <c r="J24" s="2"/>
      <c r="K24" s="20"/>
      <c r="L24" s="20"/>
      <c r="M24" s="20"/>
      <c r="N24" s="20"/>
      <c r="O24" s="20"/>
      <c r="P24" s="20"/>
      <c r="Q24" s="20"/>
      <c r="R24" s="21"/>
    </row>
    <row r="25" spans="1:18" x14ac:dyDescent="0.25">
      <c r="A25" s="26" t="s">
        <v>22</v>
      </c>
      <c r="B25" s="3">
        <f>0.1678*B24</f>
        <v>873466.95900000003</v>
      </c>
      <c r="C25" s="3">
        <f>0.1698*C24</f>
        <v>1058047.5719999999</v>
      </c>
      <c r="D25" s="3">
        <f>0.1625*D24</f>
        <v>1228779.5</v>
      </c>
      <c r="E25" s="3">
        <f>0.1675*E24</f>
        <v>1542376.85</v>
      </c>
      <c r="F25" s="3"/>
      <c r="G25" s="3"/>
      <c r="H25" s="3"/>
      <c r="I25" s="3"/>
      <c r="J25" s="3"/>
      <c r="K25" s="20"/>
      <c r="L25" s="20"/>
      <c r="M25" s="20"/>
      <c r="N25" s="20"/>
      <c r="O25" s="20"/>
      <c r="P25" s="20"/>
      <c r="Q25" s="20"/>
      <c r="R25" s="21"/>
    </row>
    <row r="26" spans="1:18" x14ac:dyDescent="0.25">
      <c r="A26" s="47" t="s">
        <v>23</v>
      </c>
      <c r="B26" s="48">
        <f>B24-B25</f>
        <v>4331938.0410000002</v>
      </c>
      <c r="C26" s="48">
        <f>C24-C25</f>
        <v>5173092.4280000003</v>
      </c>
      <c r="D26" s="48">
        <f t="shared" ref="D26:E26" si="8">D24-D25</f>
        <v>6332940.5</v>
      </c>
      <c r="E26" s="48">
        <f t="shared" si="8"/>
        <v>7665843.1500000004</v>
      </c>
      <c r="F26" s="48"/>
      <c r="G26" s="48"/>
      <c r="H26" s="48"/>
      <c r="I26" s="48"/>
      <c r="J26" s="48"/>
      <c r="K26" s="20"/>
      <c r="L26" s="112" t="s">
        <v>2</v>
      </c>
      <c r="M26" s="112"/>
      <c r="N26" s="112"/>
      <c r="O26" s="112"/>
      <c r="P26" s="112"/>
      <c r="Q26" s="112"/>
      <c r="R26" s="21"/>
    </row>
    <row r="27" spans="1:18" x14ac:dyDescent="0.25">
      <c r="A27" s="29" t="s">
        <v>122</v>
      </c>
      <c r="B27" s="85">
        <f>B26/B6</f>
        <v>0.24010298420352513</v>
      </c>
      <c r="C27" s="85">
        <f t="shared" ref="C27:J27" si="9">C26/C6</f>
        <v>0.25317341692360401</v>
      </c>
      <c r="D27" s="85">
        <f t="shared" si="9"/>
        <v>0.2725134687378975</v>
      </c>
      <c r="E27" s="85">
        <f t="shared" si="9"/>
        <v>0.2902409189004998</v>
      </c>
      <c r="F27" s="85" t="e">
        <f t="shared" si="9"/>
        <v>#DIV/0!</v>
      </c>
      <c r="G27" s="85" t="e">
        <f t="shared" si="9"/>
        <v>#DIV/0!</v>
      </c>
      <c r="H27" s="85" t="e">
        <f t="shared" si="9"/>
        <v>#DIV/0!</v>
      </c>
      <c r="I27" s="85" t="e">
        <f t="shared" si="9"/>
        <v>#DIV/0!</v>
      </c>
      <c r="J27" s="85" t="e">
        <f t="shared" si="9"/>
        <v>#DIV/0!</v>
      </c>
      <c r="K27" s="20"/>
      <c r="L27" s="20"/>
      <c r="M27" s="46" t="s">
        <v>67</v>
      </c>
      <c r="N27" s="46" t="s">
        <v>68</v>
      </c>
      <c r="O27" s="46" t="s">
        <v>78</v>
      </c>
      <c r="P27" s="46" t="s">
        <v>164</v>
      </c>
      <c r="Q27" s="46" t="s">
        <v>165</v>
      </c>
      <c r="R27" s="21"/>
    </row>
    <row r="28" spans="1:18" x14ac:dyDescent="0.25">
      <c r="A28" s="65" t="s">
        <v>62</v>
      </c>
      <c r="B28" s="66"/>
      <c r="C28" s="66"/>
      <c r="D28" s="66"/>
      <c r="E28" s="66">
        <f>E50</f>
        <v>0</v>
      </c>
      <c r="F28" s="66">
        <f>E52*F6</f>
        <v>0</v>
      </c>
      <c r="G28" s="66">
        <f>$E$52*G6</f>
        <v>0</v>
      </c>
      <c r="H28" s="66">
        <f t="shared" ref="H28:J28" si="10">$E$52*H6</f>
        <v>0</v>
      </c>
      <c r="I28" s="66">
        <f t="shared" si="10"/>
        <v>0</v>
      </c>
      <c r="J28" s="66">
        <f t="shared" si="10"/>
        <v>0</v>
      </c>
      <c r="K28" s="20"/>
      <c r="L28" s="16" t="s">
        <v>123</v>
      </c>
      <c r="M28" s="7"/>
      <c r="N28" s="7"/>
      <c r="O28" s="7"/>
      <c r="P28" s="7"/>
      <c r="Q28" s="7"/>
      <c r="R28" s="21"/>
    </row>
    <row r="29" spans="1:18" x14ac:dyDescent="0.25">
      <c r="A29" s="30" t="s">
        <v>28</v>
      </c>
      <c r="B29" s="31"/>
      <c r="C29" s="31"/>
      <c r="D29" s="20"/>
      <c r="E29" s="20"/>
      <c r="F29" s="20"/>
      <c r="G29" s="20"/>
      <c r="H29" s="20"/>
      <c r="I29" s="20"/>
      <c r="J29" s="20"/>
      <c r="K29" s="20"/>
      <c r="L29" s="16" t="s">
        <v>124</v>
      </c>
      <c r="M29" s="7"/>
      <c r="N29" s="7"/>
      <c r="O29" s="7"/>
      <c r="P29" s="7"/>
      <c r="Q29" s="7"/>
      <c r="R29" s="21"/>
    </row>
    <row r="30" spans="1:18" ht="15.75" x14ac:dyDescent="0.25">
      <c r="A30" s="74" t="s">
        <v>61</v>
      </c>
      <c r="B30" s="20"/>
      <c r="C30" s="20"/>
      <c r="D30" s="20"/>
      <c r="E30" s="10"/>
      <c r="F30" s="20"/>
      <c r="G30" s="20"/>
      <c r="H30" s="20"/>
      <c r="I30" s="20"/>
      <c r="J30" s="20"/>
      <c r="K30" s="20"/>
      <c r="L30" s="14" t="s">
        <v>24</v>
      </c>
      <c r="M30" s="7"/>
      <c r="N30" s="7"/>
      <c r="O30" s="7"/>
      <c r="P30" s="7"/>
      <c r="Q30" s="7"/>
      <c r="R30" s="21"/>
    </row>
    <row r="31" spans="1:18" s="8" customFormat="1" x14ac:dyDescent="0.25">
      <c r="A31" s="74" t="s">
        <v>27</v>
      </c>
      <c r="B31" s="20"/>
      <c r="C31" s="20"/>
      <c r="D31" s="20"/>
      <c r="E31" s="13"/>
      <c r="F31" s="20"/>
      <c r="G31" s="20"/>
      <c r="H31" s="20"/>
      <c r="I31" s="20"/>
      <c r="J31" s="20"/>
      <c r="K31" s="12"/>
      <c r="L31" s="14" t="s">
        <v>25</v>
      </c>
      <c r="M31" s="7"/>
      <c r="N31" s="7"/>
      <c r="O31" s="7"/>
      <c r="P31" s="7"/>
      <c r="Q31" s="7"/>
      <c r="R31" s="21"/>
    </row>
    <row r="32" spans="1:18" x14ac:dyDescent="0.25">
      <c r="A32" s="74" t="s">
        <v>120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14" t="s">
        <v>26</v>
      </c>
      <c r="M32" s="7"/>
      <c r="N32" s="7"/>
      <c r="O32" s="7"/>
      <c r="P32" s="7"/>
      <c r="Q32" s="7"/>
      <c r="R32" s="32"/>
    </row>
    <row r="33" spans="1:18" x14ac:dyDescent="0.25">
      <c r="A33" s="74" t="s">
        <v>168</v>
      </c>
      <c r="B33" s="20"/>
      <c r="C33" s="20"/>
      <c r="D33" s="20"/>
      <c r="E33" s="20"/>
      <c r="F33" s="12"/>
      <c r="G33" s="12"/>
      <c r="H33" s="12"/>
      <c r="I33" s="12"/>
      <c r="J33" s="12"/>
      <c r="K33" s="20"/>
      <c r="L33" s="63" t="s">
        <v>2</v>
      </c>
      <c r="M33" s="9">
        <f>M28+M29+M30-M31-M32</f>
        <v>0</v>
      </c>
      <c r="N33" s="9">
        <f t="shared" ref="N33:Q33" si="11">N28+N29+N30-N31-N32</f>
        <v>0</v>
      </c>
      <c r="O33" s="9">
        <f t="shared" si="11"/>
        <v>0</v>
      </c>
      <c r="P33" s="9">
        <f t="shared" si="11"/>
        <v>0</v>
      </c>
      <c r="Q33" s="9">
        <f t="shared" si="11"/>
        <v>0</v>
      </c>
      <c r="R33" s="21"/>
    </row>
    <row r="34" spans="1:18" s="8" customFormat="1" ht="15.75" thickBot="1" x14ac:dyDescent="0.3">
      <c r="A34" s="74" t="s">
        <v>169</v>
      </c>
      <c r="B34" s="20"/>
      <c r="C34" s="20"/>
      <c r="D34" s="20"/>
      <c r="E34" s="20"/>
      <c r="F34" s="11"/>
      <c r="G34" s="11"/>
      <c r="H34" s="20"/>
      <c r="I34" s="20"/>
      <c r="J34" s="20"/>
      <c r="K34" s="12"/>
      <c r="L34" s="40" t="s">
        <v>3</v>
      </c>
      <c r="M34" s="12"/>
      <c r="N34" s="12"/>
      <c r="O34" s="12"/>
      <c r="P34" s="12"/>
      <c r="Q34" s="20"/>
      <c r="R34" s="21"/>
    </row>
    <row r="35" spans="1:18" s="8" customFormat="1" ht="15.75" thickBot="1" x14ac:dyDescent="0.3">
      <c r="A35" s="74" t="s">
        <v>73</v>
      </c>
      <c r="B35" s="20"/>
      <c r="C35" s="20"/>
      <c r="D35" s="20"/>
      <c r="E35" s="20"/>
      <c r="F35" s="12"/>
      <c r="G35" s="12"/>
      <c r="H35" s="20"/>
      <c r="I35" s="20"/>
      <c r="J35" s="20"/>
      <c r="K35" s="12"/>
      <c r="L35" s="41" t="s">
        <v>35</v>
      </c>
      <c r="M35" s="43"/>
      <c r="N35" s="20"/>
      <c r="O35" s="20"/>
      <c r="P35" s="20"/>
      <c r="Q35" s="12"/>
      <c r="R35" s="32"/>
    </row>
    <row r="36" spans="1:18" s="8" customFormat="1" x14ac:dyDescent="0.25">
      <c r="A36" s="74" t="s">
        <v>39</v>
      </c>
      <c r="B36" s="33"/>
      <c r="C36" s="20"/>
      <c r="D36" s="20"/>
      <c r="E36" s="20"/>
      <c r="F36" s="11"/>
      <c r="G36" s="12"/>
      <c r="H36" s="11"/>
      <c r="I36" s="12"/>
      <c r="J36" s="12"/>
      <c r="K36" s="12"/>
      <c r="L36" s="73" t="s">
        <v>4</v>
      </c>
      <c r="M36" s="39"/>
      <c r="N36" s="20"/>
      <c r="O36" s="20"/>
      <c r="P36" s="20"/>
      <c r="Q36" s="12"/>
      <c r="R36" s="32"/>
    </row>
    <row r="37" spans="1:18" s="8" customFormat="1" x14ac:dyDescent="0.25">
      <c r="A37" s="74" t="s">
        <v>40</v>
      </c>
      <c r="B37" s="20"/>
      <c r="C37" s="20"/>
      <c r="D37" s="20"/>
      <c r="E37" s="20"/>
      <c r="F37" s="11"/>
      <c r="G37" s="12"/>
      <c r="H37" s="11"/>
      <c r="I37" s="12"/>
      <c r="J37" s="12"/>
      <c r="K37" s="12"/>
      <c r="L37" s="15" t="s">
        <v>5</v>
      </c>
      <c r="M37" s="9"/>
      <c r="N37" s="20"/>
      <c r="O37" s="20"/>
      <c r="P37" s="20"/>
      <c r="Q37" s="12"/>
      <c r="R37" s="32"/>
    </row>
    <row r="38" spans="1:18" ht="15.75" thickBot="1" x14ac:dyDescent="0.3">
      <c r="A38" s="22"/>
      <c r="B38" s="20"/>
      <c r="C38" s="20"/>
      <c r="D38" s="36" t="s">
        <v>128</v>
      </c>
      <c r="E38" s="20"/>
      <c r="F38" s="11"/>
      <c r="G38" s="85">
        <f>(3.7%+4.2%+4.1%+3.9%)/4</f>
        <v>3.9750000000000001E-2</v>
      </c>
      <c r="H38" s="11"/>
      <c r="I38" s="12"/>
      <c r="J38" s="12"/>
      <c r="K38" s="20"/>
      <c r="L38" s="40" t="s">
        <v>6</v>
      </c>
      <c r="M38" s="42"/>
      <c r="N38" s="20"/>
      <c r="O38" s="20"/>
      <c r="P38" s="20"/>
      <c r="Q38" s="12"/>
      <c r="R38" s="32"/>
    </row>
    <row r="39" spans="1:18" x14ac:dyDescent="0.25">
      <c r="A39" s="44"/>
      <c r="B39" s="20"/>
      <c r="C39" s="20"/>
      <c r="D39" s="20"/>
      <c r="E39" s="20"/>
      <c r="F39" s="11"/>
      <c r="G39" s="12"/>
      <c r="H39" s="11"/>
      <c r="I39" s="12"/>
      <c r="J39" s="12"/>
      <c r="K39" s="20"/>
      <c r="L39" s="91" t="s">
        <v>7</v>
      </c>
      <c r="M39" s="92"/>
      <c r="N39" s="20"/>
      <c r="O39" s="20" t="s">
        <v>76</v>
      </c>
      <c r="P39" s="20"/>
      <c r="Q39" s="20"/>
      <c r="R39" s="21"/>
    </row>
    <row r="40" spans="1:18" x14ac:dyDescent="0.25">
      <c r="A40" s="22"/>
      <c r="B40" s="20"/>
      <c r="C40" s="20"/>
      <c r="D40" s="20"/>
      <c r="E40" s="20"/>
      <c r="F40" s="12"/>
      <c r="G40" s="12"/>
      <c r="H40" s="12"/>
      <c r="I40" s="20"/>
      <c r="J40" s="20"/>
      <c r="K40" s="20"/>
      <c r="L40" s="93" t="s">
        <v>66</v>
      </c>
      <c r="M40" s="94"/>
      <c r="N40" s="20"/>
      <c r="O40" s="20"/>
      <c r="P40" s="20"/>
      <c r="Q40" s="20"/>
      <c r="R40" s="21"/>
    </row>
    <row r="41" spans="1:18" x14ac:dyDescent="0.25">
      <c r="A41" s="22"/>
      <c r="B41" s="20"/>
      <c r="C41" s="20"/>
      <c r="D41" s="20"/>
      <c r="E41" s="20"/>
      <c r="F41" s="20"/>
      <c r="G41" s="20"/>
      <c r="H41" s="12"/>
      <c r="I41" s="20"/>
      <c r="J41" s="20"/>
      <c r="K41" s="20"/>
      <c r="L41" s="15" t="s">
        <v>77</v>
      </c>
      <c r="M41" s="67"/>
      <c r="N41" s="20"/>
      <c r="O41" s="20"/>
      <c r="P41" s="20"/>
      <c r="Q41" s="20"/>
      <c r="R41" s="21"/>
    </row>
    <row r="42" spans="1:18" ht="15.75" thickBot="1" x14ac:dyDescent="0.3">
      <c r="A42" s="37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95" t="s">
        <v>72</v>
      </c>
      <c r="M42" s="96"/>
      <c r="N42" s="20"/>
      <c r="O42" s="20"/>
      <c r="P42" s="20"/>
      <c r="Q42" s="20"/>
      <c r="R42" s="21"/>
    </row>
    <row r="43" spans="1:18" ht="15.75" thickBot="1" x14ac:dyDescent="0.3">
      <c r="L43" s="34"/>
      <c r="M43" s="34"/>
      <c r="N43" s="34"/>
      <c r="O43" s="34"/>
      <c r="P43" s="34"/>
      <c r="Q43" s="34"/>
      <c r="R43" s="35"/>
    </row>
    <row r="45" spans="1:18" x14ac:dyDescent="0.25">
      <c r="A45" t="s">
        <v>79</v>
      </c>
      <c r="L45" t="s">
        <v>80</v>
      </c>
    </row>
    <row r="46" spans="1:18" x14ac:dyDescent="0.25">
      <c r="A46" s="50" t="s">
        <v>41</v>
      </c>
      <c r="B46" s="51">
        <v>46022</v>
      </c>
    </row>
    <row r="47" spans="1:18" x14ac:dyDescent="0.25">
      <c r="A47" s="52" t="s">
        <v>42</v>
      </c>
      <c r="B47" s="53">
        <v>32560000</v>
      </c>
    </row>
    <row r="48" spans="1:18" x14ac:dyDescent="0.25">
      <c r="A48" s="52" t="s">
        <v>43</v>
      </c>
      <c r="B48" s="53">
        <f>SUM(B49:B51)</f>
        <v>10820000</v>
      </c>
    </row>
    <row r="49" spans="1:8" x14ac:dyDescent="0.25">
      <c r="A49" s="54" t="s">
        <v>44</v>
      </c>
      <c r="B49" s="55">
        <v>4890000</v>
      </c>
      <c r="D49" t="s">
        <v>126</v>
      </c>
      <c r="E49" s="64"/>
    </row>
    <row r="50" spans="1:8" x14ac:dyDescent="0.25">
      <c r="A50" s="54" t="s">
        <v>45</v>
      </c>
      <c r="B50" s="55">
        <v>5260000</v>
      </c>
      <c r="D50" s="86" t="s">
        <v>170</v>
      </c>
      <c r="E50" s="87"/>
    </row>
    <row r="51" spans="1:8" x14ac:dyDescent="0.25">
      <c r="A51" s="54" t="s">
        <v>46</v>
      </c>
      <c r="B51" s="55">
        <v>670000</v>
      </c>
    </row>
    <row r="52" spans="1:8" x14ac:dyDescent="0.25">
      <c r="A52" s="56" t="s">
        <v>47</v>
      </c>
      <c r="B52" s="57">
        <f>B47+B48</f>
        <v>43380000</v>
      </c>
      <c r="D52" t="s">
        <v>127</v>
      </c>
      <c r="E52" s="88">
        <f>E50/E6</f>
        <v>0</v>
      </c>
    </row>
    <row r="54" spans="1:8" x14ac:dyDescent="0.25">
      <c r="A54" s="50" t="s">
        <v>48</v>
      </c>
      <c r="B54" s="51">
        <v>46022</v>
      </c>
    </row>
    <row r="55" spans="1:8" x14ac:dyDescent="0.25">
      <c r="A55" s="52" t="s">
        <v>49</v>
      </c>
      <c r="B55" s="53">
        <v>26740000</v>
      </c>
      <c r="D55" t="s">
        <v>129</v>
      </c>
      <c r="E55" s="62"/>
    </row>
    <row r="56" spans="1:8" x14ac:dyDescent="0.25">
      <c r="A56" s="52" t="s">
        <v>50</v>
      </c>
      <c r="B56" s="53">
        <v>10620000</v>
      </c>
      <c r="D56" t="s">
        <v>130</v>
      </c>
      <c r="E56" s="62"/>
      <c r="H56" s="88">
        <f>B55/(B55+B56)</f>
        <v>0.71573875802997855</v>
      </c>
    </row>
    <row r="57" spans="1:8" x14ac:dyDescent="0.25">
      <c r="A57" s="52" t="s">
        <v>51</v>
      </c>
      <c r="B57" s="53">
        <f>B58+B59</f>
        <v>6020000</v>
      </c>
      <c r="D57" t="s">
        <v>131</v>
      </c>
      <c r="H57" s="88">
        <f>1-H56</f>
        <v>0.28426124197002145</v>
      </c>
    </row>
    <row r="58" spans="1:8" x14ac:dyDescent="0.25">
      <c r="A58" s="54" t="s">
        <v>52</v>
      </c>
      <c r="B58" s="55">
        <v>5590000</v>
      </c>
    </row>
    <row r="59" spans="1:8" x14ac:dyDescent="0.25">
      <c r="A59" s="54" t="s">
        <v>53</v>
      </c>
      <c r="B59" s="55">
        <v>430000</v>
      </c>
    </row>
    <row r="60" spans="1:8" x14ac:dyDescent="0.25">
      <c r="A60" s="58" t="s">
        <v>54</v>
      </c>
      <c r="B60" s="57">
        <f>B55+B56+B57</f>
        <v>43380000</v>
      </c>
    </row>
    <row r="62" spans="1:8" ht="21.75" customHeight="1" x14ac:dyDescent="0.25">
      <c r="A62" s="59" t="s">
        <v>55</v>
      </c>
      <c r="B62" s="60" t="s">
        <v>56</v>
      </c>
      <c r="C62" s="60" t="s">
        <v>57</v>
      </c>
    </row>
    <row r="63" spans="1:8" x14ac:dyDescent="0.25">
      <c r="A63" s="54" t="s">
        <v>58</v>
      </c>
      <c r="B63" s="55">
        <f>4569700</f>
        <v>4569700</v>
      </c>
      <c r="C63" s="61">
        <v>5.67E-2</v>
      </c>
      <c r="E63" s="62" t="s">
        <v>121</v>
      </c>
      <c r="F63" s="61"/>
    </row>
    <row r="64" spans="1:8" x14ac:dyDescent="0.25">
      <c r="A64" s="54" t="s">
        <v>59</v>
      </c>
      <c r="B64" s="55">
        <v>3214700</v>
      </c>
      <c r="C64" s="61">
        <v>5.21E-2</v>
      </c>
    </row>
    <row r="65" spans="1:3" x14ac:dyDescent="0.25">
      <c r="A65" s="54" t="s">
        <v>60</v>
      </c>
      <c r="B65" s="55">
        <f>B56-B63-B64</f>
        <v>2835600</v>
      </c>
      <c r="C65" s="61">
        <v>5.9799999999999999E-2</v>
      </c>
    </row>
  </sheetData>
  <mergeCells count="3">
    <mergeCell ref="A3:I3"/>
    <mergeCell ref="L5:M5"/>
    <mergeCell ref="L26:Q2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13</xdr:col>
                <xdr:colOff>295275</xdr:colOff>
                <xdr:row>33</xdr:row>
                <xdr:rowOff>142875</xdr:rowOff>
              </from>
              <to>
                <xdr:col>19</xdr:col>
                <xdr:colOff>447675</xdr:colOff>
                <xdr:row>37</xdr:row>
                <xdr:rowOff>28575</xdr:rowOff>
              </to>
            </anchor>
          </objectPr>
        </oleObject>
      </mc:Choice>
      <mc:Fallback>
        <oleObject progId="Equation.3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EDA5-91B4-4EAD-BE1E-EF1BDD550554}">
  <dimension ref="A1:I61"/>
  <sheetViews>
    <sheetView tabSelected="1" zoomScale="120" zoomScaleNormal="120" workbookViewId="0">
      <selection activeCell="G59" sqref="G59"/>
    </sheetView>
  </sheetViews>
  <sheetFormatPr defaultRowHeight="15" x14ac:dyDescent="0.25"/>
  <cols>
    <col min="1" max="1" width="23.5703125" customWidth="1"/>
    <col min="2" max="2" width="16.85546875" customWidth="1"/>
    <col min="3" max="3" width="19.85546875" bestFit="1" customWidth="1"/>
    <col min="4" max="5" width="16.85546875" customWidth="1"/>
    <col min="6" max="6" width="20.140625" customWidth="1"/>
    <col min="7" max="7" width="31.42578125" bestFit="1" customWidth="1"/>
    <col min="8" max="8" width="19.5703125" customWidth="1"/>
    <col min="9" max="9" width="17.42578125" customWidth="1"/>
  </cols>
  <sheetData>
    <row r="1" spans="1:9" x14ac:dyDescent="0.25">
      <c r="A1" s="97" t="s">
        <v>81</v>
      </c>
      <c r="B1" s="97"/>
      <c r="C1" s="97"/>
      <c r="G1" s="79" t="s">
        <v>8</v>
      </c>
    </row>
    <row r="3" spans="1:9" x14ac:dyDescent="0.25">
      <c r="A3" s="98" t="s">
        <v>132</v>
      </c>
      <c r="B3" s="99"/>
      <c r="C3" s="99"/>
      <c r="G3" s="102" t="s">
        <v>139</v>
      </c>
      <c r="H3" s="102">
        <v>2026</v>
      </c>
      <c r="I3" s="102">
        <v>2027</v>
      </c>
    </row>
    <row r="4" spans="1:9" x14ac:dyDescent="0.25">
      <c r="A4" s="77" t="s">
        <v>82</v>
      </c>
      <c r="B4" s="77" t="s">
        <v>83</v>
      </c>
      <c r="C4" s="77" t="s">
        <v>84</v>
      </c>
      <c r="D4">
        <v>2026</v>
      </c>
      <c r="E4">
        <v>2027</v>
      </c>
      <c r="G4" s="67" t="s">
        <v>140</v>
      </c>
      <c r="H4" s="78"/>
      <c r="I4" s="78"/>
    </row>
    <row r="5" spans="1:9" x14ac:dyDescent="0.25">
      <c r="A5" s="67" t="s">
        <v>85</v>
      </c>
      <c r="B5" s="78">
        <v>1200000</v>
      </c>
      <c r="C5" s="78"/>
      <c r="G5" s="67"/>
      <c r="H5" s="67"/>
      <c r="I5" s="67"/>
    </row>
    <row r="6" spans="1:9" x14ac:dyDescent="0.25">
      <c r="A6" s="67" t="s">
        <v>86</v>
      </c>
      <c r="B6" s="78">
        <v>700000</v>
      </c>
      <c r="C6" s="78">
        <v>25</v>
      </c>
      <c r="D6">
        <f>B6/C6</f>
        <v>28000</v>
      </c>
      <c r="E6">
        <f>D6</f>
        <v>28000</v>
      </c>
      <c r="G6" s="76" t="s">
        <v>141</v>
      </c>
      <c r="H6" s="103"/>
      <c r="I6" s="103"/>
    </row>
    <row r="7" spans="1:9" x14ac:dyDescent="0.25">
      <c r="A7" s="67" t="s">
        <v>87</v>
      </c>
      <c r="B7" s="78">
        <v>500000</v>
      </c>
      <c r="C7" s="78">
        <v>10</v>
      </c>
      <c r="D7">
        <f>B7/C7</f>
        <v>50000</v>
      </c>
      <c r="E7">
        <f>D7</f>
        <v>50000</v>
      </c>
      <c r="G7" s="76" t="s">
        <v>95</v>
      </c>
      <c r="H7" s="103"/>
      <c r="I7" s="103"/>
    </row>
    <row r="8" spans="1:9" x14ac:dyDescent="0.25">
      <c r="G8" s="67" t="s">
        <v>142</v>
      </c>
      <c r="H8" s="78"/>
      <c r="I8" s="78"/>
    </row>
    <row r="9" spans="1:9" x14ac:dyDescent="0.25">
      <c r="A9" s="98" t="s">
        <v>92</v>
      </c>
      <c r="B9" s="99"/>
      <c r="C9" s="99"/>
      <c r="G9" s="67" t="s">
        <v>143</v>
      </c>
      <c r="H9" s="78"/>
      <c r="I9" s="78"/>
    </row>
    <row r="10" spans="1:9" x14ac:dyDescent="0.25">
      <c r="A10" s="79" t="s">
        <v>133</v>
      </c>
      <c r="B10" s="11">
        <v>150</v>
      </c>
      <c r="C10" s="80" t="s">
        <v>88</v>
      </c>
      <c r="G10" s="67" t="s">
        <v>144</v>
      </c>
      <c r="H10" s="78"/>
      <c r="I10" s="78"/>
    </row>
    <row r="11" spans="1:9" x14ac:dyDescent="0.25">
      <c r="A11" t="s">
        <v>89</v>
      </c>
      <c r="G11" s="67" t="s">
        <v>145</v>
      </c>
      <c r="H11" s="78"/>
      <c r="I11" s="78"/>
    </row>
    <row r="12" spans="1:9" x14ac:dyDescent="0.25">
      <c r="A12" t="s">
        <v>90</v>
      </c>
      <c r="G12" s="67"/>
      <c r="H12" s="67"/>
      <c r="I12" s="67"/>
    </row>
    <row r="13" spans="1:9" x14ac:dyDescent="0.25">
      <c r="A13" t="s">
        <v>91</v>
      </c>
      <c r="G13" s="76" t="s">
        <v>146</v>
      </c>
      <c r="H13" s="103"/>
      <c r="I13" s="103"/>
    </row>
    <row r="14" spans="1:9" x14ac:dyDescent="0.25">
      <c r="B14">
        <v>2026</v>
      </c>
      <c r="C14">
        <v>2027</v>
      </c>
      <c r="G14" s="67"/>
      <c r="H14" s="67"/>
      <c r="I14" s="67"/>
    </row>
    <row r="15" spans="1:9" x14ac:dyDescent="0.25">
      <c r="A15" s="98" t="s">
        <v>93</v>
      </c>
      <c r="B15" s="98">
        <v>8</v>
      </c>
      <c r="C15" s="98">
        <v>9</v>
      </c>
      <c r="D15" s="100" t="s">
        <v>94</v>
      </c>
      <c r="G15" s="76" t="s">
        <v>147</v>
      </c>
      <c r="H15" s="103"/>
      <c r="I15" s="103"/>
    </row>
    <row r="16" spans="1:9" x14ac:dyDescent="0.25">
      <c r="G16" s="67" t="s">
        <v>148</v>
      </c>
      <c r="H16" s="78"/>
      <c r="I16" s="78"/>
    </row>
    <row r="17" spans="1:9" x14ac:dyDescent="0.25">
      <c r="A17" s="98" t="s">
        <v>96</v>
      </c>
      <c r="B17" s="99"/>
      <c r="C17" s="99"/>
      <c r="G17" s="67"/>
      <c r="H17" s="67"/>
      <c r="I17" s="67"/>
    </row>
    <row r="18" spans="1:9" x14ac:dyDescent="0.25">
      <c r="A18" s="77" t="s">
        <v>82</v>
      </c>
      <c r="B18" s="77" t="s">
        <v>97</v>
      </c>
      <c r="C18" s="77" t="s">
        <v>99</v>
      </c>
      <c r="G18" s="76" t="s">
        <v>149</v>
      </c>
      <c r="H18" s="103"/>
      <c r="I18" s="103"/>
    </row>
    <row r="19" spans="1:9" x14ac:dyDescent="0.25">
      <c r="A19" s="67" t="s">
        <v>98</v>
      </c>
      <c r="B19" s="67">
        <v>0.11</v>
      </c>
      <c r="C19" s="82" t="s">
        <v>94</v>
      </c>
      <c r="G19" s="67" t="s">
        <v>157</v>
      </c>
      <c r="H19" s="78"/>
      <c r="I19" s="78"/>
    </row>
    <row r="20" spans="1:9" x14ac:dyDescent="0.25">
      <c r="A20" s="67" t="s">
        <v>100</v>
      </c>
      <c r="B20" s="67"/>
      <c r="C20" s="75"/>
      <c r="G20" s="67"/>
      <c r="H20" s="67"/>
      <c r="I20" s="67"/>
    </row>
    <row r="21" spans="1:9" x14ac:dyDescent="0.25">
      <c r="A21" s="67" t="s">
        <v>101</v>
      </c>
      <c r="B21" s="67">
        <v>0.4</v>
      </c>
      <c r="C21" s="82" t="s">
        <v>94</v>
      </c>
      <c r="G21" s="76" t="s">
        <v>158</v>
      </c>
      <c r="H21" s="103"/>
      <c r="I21" s="103"/>
    </row>
    <row r="22" spans="1:9" x14ac:dyDescent="0.25">
      <c r="A22" s="67" t="s">
        <v>102</v>
      </c>
      <c r="B22" s="67">
        <v>0.3</v>
      </c>
      <c r="C22" s="82" t="s">
        <v>94</v>
      </c>
      <c r="G22" s="67" t="s">
        <v>159</v>
      </c>
      <c r="H22" s="78"/>
      <c r="I22" s="78"/>
    </row>
    <row r="23" spans="1:9" x14ac:dyDescent="0.25">
      <c r="A23" s="67" t="s">
        <v>103</v>
      </c>
      <c r="B23" s="67">
        <v>0.2</v>
      </c>
      <c r="C23" s="82" t="s">
        <v>94</v>
      </c>
      <c r="G23" s="67"/>
      <c r="H23" s="67"/>
      <c r="I23" s="67"/>
    </row>
    <row r="24" spans="1:9" x14ac:dyDescent="0.25">
      <c r="A24" s="67"/>
      <c r="B24" s="67"/>
      <c r="C24" s="67"/>
      <c r="G24" s="76" t="s">
        <v>123</v>
      </c>
      <c r="H24" s="103"/>
      <c r="I24" s="103"/>
    </row>
    <row r="25" spans="1:9" x14ac:dyDescent="0.25">
      <c r="A25" s="67" t="s">
        <v>104</v>
      </c>
      <c r="B25" s="67">
        <v>0.2</v>
      </c>
      <c r="C25" s="82" t="s">
        <v>94</v>
      </c>
    </row>
    <row r="26" spans="1:9" x14ac:dyDescent="0.25">
      <c r="A26" s="67" t="s">
        <v>105</v>
      </c>
      <c r="B26" s="67">
        <v>0.9</v>
      </c>
      <c r="C26" s="82" t="s">
        <v>94</v>
      </c>
      <c r="G26" s="79" t="s">
        <v>160</v>
      </c>
    </row>
    <row r="27" spans="1:9" x14ac:dyDescent="0.25">
      <c r="G27" s="102" t="s">
        <v>139</v>
      </c>
      <c r="H27" s="102">
        <v>2026</v>
      </c>
      <c r="I27" s="102">
        <v>2027</v>
      </c>
    </row>
    <row r="28" spans="1:9" x14ac:dyDescent="0.25">
      <c r="A28" s="98" t="s">
        <v>106</v>
      </c>
      <c r="B28" s="99"/>
      <c r="C28" s="99"/>
      <c r="G28" s="67" t="s">
        <v>123</v>
      </c>
      <c r="H28" s="78"/>
      <c r="I28" s="78"/>
    </row>
    <row r="29" spans="1:9" x14ac:dyDescent="0.25">
      <c r="A29" s="67" t="s">
        <v>107</v>
      </c>
      <c r="B29" s="78">
        <v>20000</v>
      </c>
      <c r="C29" s="83" t="s">
        <v>110</v>
      </c>
      <c r="G29" s="67" t="s">
        <v>161</v>
      </c>
      <c r="H29" s="78"/>
      <c r="I29" s="78"/>
    </row>
    <row r="30" spans="1:9" x14ac:dyDescent="0.25">
      <c r="A30" s="67" t="s">
        <v>108</v>
      </c>
      <c r="B30" s="78">
        <v>5000</v>
      </c>
      <c r="C30" s="83" t="s">
        <v>110</v>
      </c>
      <c r="G30" s="67" t="s">
        <v>24</v>
      </c>
      <c r="H30" s="78"/>
      <c r="I30" s="78"/>
    </row>
    <row r="31" spans="1:9" x14ac:dyDescent="0.25">
      <c r="A31" s="67" t="s">
        <v>109</v>
      </c>
      <c r="B31" s="78">
        <v>15000</v>
      </c>
      <c r="C31" s="83" t="s">
        <v>110</v>
      </c>
      <c r="G31" s="67" t="s">
        <v>25</v>
      </c>
      <c r="H31" s="78"/>
      <c r="I31" s="78"/>
    </row>
    <row r="32" spans="1:9" x14ac:dyDescent="0.25">
      <c r="G32" s="67" t="s">
        <v>26</v>
      </c>
      <c r="H32" s="78"/>
      <c r="I32" s="78"/>
    </row>
    <row r="33" spans="1:9" x14ac:dyDescent="0.25">
      <c r="G33" s="76" t="s">
        <v>2</v>
      </c>
      <c r="H33" s="103"/>
      <c r="I33" s="103"/>
    </row>
    <row r="34" spans="1:9" x14ac:dyDescent="0.25">
      <c r="A34" s="98" t="s">
        <v>114</v>
      </c>
      <c r="B34" s="99"/>
      <c r="C34" s="99"/>
      <c r="D34" s="101">
        <v>2026</v>
      </c>
      <c r="E34" s="101">
        <v>2027</v>
      </c>
    </row>
    <row r="35" spans="1:9" x14ac:dyDescent="0.25">
      <c r="A35" s="67" t="s">
        <v>111</v>
      </c>
      <c r="B35" s="67">
        <v>20</v>
      </c>
      <c r="C35" s="108" t="s">
        <v>115</v>
      </c>
      <c r="D35" s="78">
        <f>B35*H6/360</f>
        <v>0</v>
      </c>
      <c r="E35" s="78">
        <f>B35*I6/360</f>
        <v>0</v>
      </c>
    </row>
    <row r="36" spans="1:9" x14ac:dyDescent="0.25">
      <c r="A36" s="67" t="s">
        <v>112</v>
      </c>
      <c r="B36" s="67">
        <v>10</v>
      </c>
      <c r="C36" s="108" t="s">
        <v>115</v>
      </c>
      <c r="D36" s="78">
        <f>10*H6/360</f>
        <v>0</v>
      </c>
      <c r="E36" s="78">
        <f>B36*I6/360</f>
        <v>0</v>
      </c>
      <c r="G36" s="109" t="s">
        <v>163</v>
      </c>
      <c r="H36" s="110"/>
    </row>
    <row r="37" spans="1:9" x14ac:dyDescent="0.25">
      <c r="A37" s="67" t="s">
        <v>113</v>
      </c>
      <c r="B37" s="67">
        <v>15</v>
      </c>
      <c r="C37" s="108" t="s">
        <v>115</v>
      </c>
      <c r="D37" s="78">
        <f>15*H6/360</f>
        <v>0</v>
      </c>
      <c r="E37" s="78">
        <f>15*I6/360</f>
        <v>0</v>
      </c>
    </row>
    <row r="38" spans="1:9" x14ac:dyDescent="0.25">
      <c r="A38" s="12" t="s">
        <v>125</v>
      </c>
      <c r="D38" s="64">
        <f>D35+D36-D37</f>
        <v>0</v>
      </c>
      <c r="E38" s="64">
        <f>E35+E36-E37</f>
        <v>0</v>
      </c>
    </row>
    <row r="41" spans="1:9" x14ac:dyDescent="0.25">
      <c r="A41" s="101" t="s">
        <v>116</v>
      </c>
      <c r="B41" s="101">
        <v>2026</v>
      </c>
      <c r="C41" s="101">
        <v>2027</v>
      </c>
      <c r="E41" s="79">
        <v>2027</v>
      </c>
    </row>
    <row r="42" spans="1:9" x14ac:dyDescent="0.25">
      <c r="A42" s="67" t="s">
        <v>117</v>
      </c>
      <c r="B42" s="78">
        <v>400000</v>
      </c>
      <c r="C42" s="78"/>
      <c r="E42">
        <f>B42/20</f>
        <v>20000</v>
      </c>
      <c r="G42" t="s">
        <v>134</v>
      </c>
    </row>
    <row r="43" spans="1:9" x14ac:dyDescent="0.25">
      <c r="A43" s="67" t="s">
        <v>118</v>
      </c>
      <c r="B43" s="78"/>
      <c r="C43" s="78">
        <v>20000</v>
      </c>
      <c r="G43" t="s">
        <v>135</v>
      </c>
    </row>
    <row r="44" spans="1:9" x14ac:dyDescent="0.25">
      <c r="A44" s="84" t="s">
        <v>85</v>
      </c>
      <c r="B44" s="67"/>
      <c r="C44" s="78">
        <v>700000</v>
      </c>
    </row>
    <row r="46" spans="1:9" x14ac:dyDescent="0.25">
      <c r="A46" s="98" t="s">
        <v>119</v>
      </c>
      <c r="B46" s="99"/>
      <c r="C46" s="99"/>
      <c r="E46" t="s">
        <v>162</v>
      </c>
    </row>
    <row r="47" spans="1:9" x14ac:dyDescent="0.25">
      <c r="A47" t="s">
        <v>136</v>
      </c>
    </row>
    <row r="48" spans="1:9" x14ac:dyDescent="0.25">
      <c r="A48" t="s">
        <v>150</v>
      </c>
    </row>
    <row r="50" spans="1:7" x14ac:dyDescent="0.25">
      <c r="A50" s="79" t="s">
        <v>137</v>
      </c>
    </row>
    <row r="51" spans="1:7" x14ac:dyDescent="0.25">
      <c r="A51" s="79" t="s">
        <v>166</v>
      </c>
    </row>
    <row r="52" spans="1:7" x14ac:dyDescent="0.25">
      <c r="A52" s="79" t="s">
        <v>167</v>
      </c>
    </row>
    <row r="53" spans="1:7" x14ac:dyDescent="0.25">
      <c r="A53" t="s">
        <v>138</v>
      </c>
    </row>
    <row r="56" spans="1:7" x14ac:dyDescent="0.25">
      <c r="A56" s="81" t="s">
        <v>151</v>
      </c>
      <c r="B56" s="104" t="s">
        <v>154</v>
      </c>
      <c r="C56" s="104" t="s">
        <v>152</v>
      </c>
      <c r="D56" s="106" t="s">
        <v>153</v>
      </c>
      <c r="E56" s="104" t="s">
        <v>156</v>
      </c>
      <c r="F56" s="104" t="s">
        <v>155</v>
      </c>
      <c r="G56" s="67"/>
    </row>
    <row r="57" spans="1:7" x14ac:dyDescent="0.25">
      <c r="A57" s="81">
        <v>2026</v>
      </c>
      <c r="B57" s="105">
        <v>400000</v>
      </c>
      <c r="C57" s="105">
        <f>400000/5</f>
        <v>80000</v>
      </c>
      <c r="D57" s="107">
        <f>10%*B57</f>
        <v>40000</v>
      </c>
      <c r="E57" s="105">
        <f>C57+D57</f>
        <v>120000</v>
      </c>
      <c r="F57" s="105">
        <f>B57-C57</f>
        <v>320000</v>
      </c>
      <c r="G57" s="78"/>
    </row>
    <row r="58" spans="1:7" x14ac:dyDescent="0.25">
      <c r="A58" s="81">
        <v>2027</v>
      </c>
      <c r="B58" s="105">
        <f>F57</f>
        <v>320000</v>
      </c>
      <c r="C58" s="105">
        <f t="shared" ref="C58:C61" si="0">400000/5</f>
        <v>80000</v>
      </c>
      <c r="D58" s="107">
        <f>10%*B58</f>
        <v>32000</v>
      </c>
      <c r="E58" s="105">
        <f>C58+D58</f>
        <v>112000</v>
      </c>
      <c r="F58" s="105">
        <f>B58-C58</f>
        <v>240000</v>
      </c>
      <c r="G58" s="78"/>
    </row>
    <row r="59" spans="1:7" x14ac:dyDescent="0.25">
      <c r="A59" s="81">
        <v>2028</v>
      </c>
      <c r="B59" s="105">
        <f t="shared" ref="B59:B61" si="1">F58</f>
        <v>240000</v>
      </c>
      <c r="C59" s="105">
        <f t="shared" si="0"/>
        <v>80000</v>
      </c>
      <c r="D59" s="107">
        <f t="shared" ref="D59:D61" si="2">10%*B59</f>
        <v>24000</v>
      </c>
      <c r="E59" s="105">
        <f t="shared" ref="E59:E61" si="3">C59+D59</f>
        <v>104000</v>
      </c>
      <c r="F59" s="105">
        <f t="shared" ref="F59:F61" si="4">B59-C59</f>
        <v>160000</v>
      </c>
      <c r="G59" s="78"/>
    </row>
    <row r="60" spans="1:7" x14ac:dyDescent="0.25">
      <c r="A60" s="81">
        <v>2029</v>
      </c>
      <c r="B60" s="105">
        <f t="shared" si="1"/>
        <v>160000</v>
      </c>
      <c r="C60" s="105">
        <f t="shared" si="0"/>
        <v>80000</v>
      </c>
      <c r="D60" s="107">
        <f t="shared" si="2"/>
        <v>16000</v>
      </c>
      <c r="E60" s="105">
        <f t="shared" si="3"/>
        <v>96000</v>
      </c>
      <c r="F60" s="105">
        <f t="shared" si="4"/>
        <v>80000</v>
      </c>
      <c r="G60" s="78"/>
    </row>
    <row r="61" spans="1:7" x14ac:dyDescent="0.25">
      <c r="A61" s="81">
        <v>2030</v>
      </c>
      <c r="B61" s="105">
        <f t="shared" si="1"/>
        <v>80000</v>
      </c>
      <c r="C61" s="105">
        <f t="shared" si="0"/>
        <v>80000</v>
      </c>
      <c r="D61" s="107">
        <f t="shared" si="2"/>
        <v>8000</v>
      </c>
      <c r="E61" s="105">
        <f t="shared" si="3"/>
        <v>88000</v>
      </c>
      <c r="F61" s="105">
        <f t="shared" si="4"/>
        <v>0</v>
      </c>
      <c r="G61" s="78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3073" r:id="rId3">
          <objectPr defaultSize="0" autoPict="0" r:id="rId4">
            <anchor moveWithCells="1" sizeWithCells="1">
              <from>
                <xdr:col>6</xdr:col>
                <xdr:colOff>66675</xdr:colOff>
                <xdr:row>36</xdr:row>
                <xdr:rowOff>161925</xdr:rowOff>
              </from>
              <to>
                <xdr:col>9</xdr:col>
                <xdr:colOff>0</xdr:colOff>
                <xdr:row>40</xdr:row>
                <xdr:rowOff>66675</xdr:rowOff>
              </to>
            </anchor>
          </objectPr>
        </oleObject>
      </mc:Choice>
      <mc:Fallback>
        <oleObject progId="Equation.3" shapeId="3073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Aplicatie DCF</vt:lpstr>
      <vt:lpstr>SC Brutar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2026-09-05T15:28:40Z</dcterms:modified>
</cp:coreProperties>
</file>