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Contul meu Drive\Documents\ADOCUMENTE DIVERSE\CECCAR\2026\Fiscalitate 2026\I2\"/>
    </mc:Choice>
  </mc:AlternateContent>
  <xr:revisionPtr revIDLastSave="0" documentId="13_ncr:1_{212B08F0-E679-4E55-BC2D-E4265D7FD5EF}" xr6:coauthVersionLast="47" xr6:coauthVersionMax="47" xr10:uidLastSave="{00000000-0000-0000-0000-000000000000}"/>
  <bookViews>
    <workbookView xWindow="-108" yWindow="-108" windowWidth="23256" windowHeight="12456" firstSheet="2" activeTab="8" xr2:uid="{00000000-000D-0000-FFFF-FFFF00000000}"/>
  </bookViews>
  <sheets>
    <sheet name="Activ indep" sheetId="1" r:id="rId1"/>
    <sheet name="Dr propr intelect" sheetId="2" r:id="rId2"/>
    <sheet name="Salarii" sheetId="3" r:id="rId3"/>
    <sheet name="Cedare folos" sheetId="4" r:id="rId4"/>
    <sheet name="Investitii" sheetId="5" r:id="rId5"/>
    <sheet name="Pensii" sheetId="6" r:id="rId6"/>
    <sheet name="Transf propr" sheetId="7" r:id="rId7"/>
    <sheet name="Alte surse" sheetId="8" r:id="rId8"/>
    <sheet name="Aplic 1" sheetId="9" r:id="rId9"/>
    <sheet name="Aplic 2" sheetId="10" r:id="rId10"/>
    <sheet name="Test final" sheetId="11"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5" i="9" l="1"/>
  <c r="J83" i="9"/>
  <c r="J81" i="9"/>
  <c r="J58" i="9"/>
  <c r="J68" i="9"/>
  <c r="J66" i="9"/>
  <c r="J64" i="9"/>
  <c r="J59" i="9"/>
  <c r="J57" i="9"/>
  <c r="K34" i="9"/>
  <c r="O33" i="9"/>
  <c r="K31" i="9"/>
  <c r="O30" i="9"/>
  <c r="L50" i="9"/>
  <c r="M48" i="9"/>
  <c r="O41" i="9"/>
  <c r="L41" i="9"/>
  <c r="O38" i="9"/>
  <c r="L38" i="9"/>
  <c r="D116" i="9"/>
  <c r="D114" i="9"/>
  <c r="D112" i="9"/>
  <c r="D110" i="9"/>
  <c r="D108" i="9"/>
  <c r="E107" i="9"/>
  <c r="D107" i="9"/>
  <c r="D104" i="9"/>
  <c r="D103" i="9"/>
  <c r="D101" i="9"/>
  <c r="D100" i="9"/>
  <c r="F100" i="9"/>
  <c r="D97" i="9"/>
  <c r="D95" i="9"/>
  <c r="D94" i="9"/>
  <c r="D90" i="9"/>
  <c r="D88" i="9"/>
  <c r="F14" i="8"/>
  <c r="F12" i="8"/>
  <c r="G19" i="7"/>
  <c r="G17" i="7"/>
  <c r="G15" i="7"/>
  <c r="G13" i="7"/>
  <c r="F27" i="6"/>
  <c r="F25" i="6"/>
  <c r="E16" i="6"/>
  <c r="E12" i="6"/>
  <c r="E14" i="6"/>
  <c r="F12" i="5"/>
  <c r="I12" i="5"/>
  <c r="H12" i="5"/>
  <c r="F10" i="5"/>
  <c r="F8" i="5"/>
  <c r="E49" i="4"/>
  <c r="G49" i="4"/>
  <c r="E47" i="4"/>
  <c r="E44" i="4"/>
  <c r="E42" i="4"/>
  <c r="E40" i="4"/>
  <c r="F15" i="4"/>
  <c r="F13" i="4"/>
  <c r="I79" i="3"/>
  <c r="I76" i="3"/>
  <c r="I74" i="3"/>
  <c r="D78" i="3"/>
  <c r="D74" i="3"/>
  <c r="D61" i="3"/>
  <c r="D59" i="3"/>
  <c r="D58" i="3"/>
  <c r="D57" i="3"/>
  <c r="D40" i="3"/>
  <c r="D39" i="3"/>
  <c r="D38" i="3"/>
  <c r="D37" i="3"/>
  <c r="D34" i="3"/>
  <c r="D36" i="3"/>
  <c r="D27" i="3"/>
  <c r="D32" i="3"/>
  <c r="D25" i="3"/>
  <c r="D30" i="3" s="1"/>
  <c r="D26" i="3"/>
  <c r="D24" i="3"/>
  <c r="E32" i="2"/>
  <c r="G26" i="2"/>
  <c r="G22" i="2"/>
  <c r="H22" i="2"/>
  <c r="G20" i="2"/>
  <c r="H20" i="2"/>
  <c r="G18" i="2"/>
  <c r="G16" i="2"/>
  <c r="C125" i="1"/>
  <c r="C124" i="1"/>
  <c r="C123" i="1"/>
  <c r="C104" i="1"/>
  <c r="C103" i="1"/>
  <c r="E103" i="1"/>
  <c r="E101" i="1"/>
  <c r="C101" i="1"/>
  <c r="C100" i="1"/>
  <c r="C80" i="1"/>
  <c r="C79" i="1"/>
  <c r="C78" i="1"/>
  <c r="C77" i="1"/>
  <c r="C76" i="1"/>
  <c r="C75" i="1"/>
  <c r="E75" i="1"/>
  <c r="E74" i="1"/>
  <c r="C74" i="1"/>
  <c r="C68" i="1"/>
  <c r="C72" i="1"/>
  <c r="C71" i="1"/>
  <c r="C70" i="1"/>
  <c r="C69" i="1"/>
  <c r="B72" i="1"/>
  <c r="B71" i="1"/>
  <c r="B70" i="1"/>
  <c r="B69" i="1"/>
  <c r="C67" i="1"/>
  <c r="C43" i="1"/>
  <c r="C42" i="1"/>
  <c r="C41" i="1"/>
  <c r="D41" i="1"/>
  <c r="C40" i="1"/>
  <c r="C38" i="1"/>
  <c r="C37" i="1"/>
  <c r="C36" i="1"/>
  <c r="C23" i="1"/>
  <c r="C22" i="1"/>
  <c r="D21" i="1"/>
  <c r="C20" i="1"/>
  <c r="D20" i="1"/>
  <c r="C19" i="1"/>
  <c r="J72" i="9" l="1"/>
  <c r="J62" i="9"/>
  <c r="L46" i="9"/>
  <c r="D33" i="3"/>
  <c r="D31" i="3"/>
  <c r="J65" i="9" l="1"/>
  <c r="J63" i="9"/>
  <c r="J69" i="9" l="1"/>
  <c r="J70" i="9" s="1"/>
  <c r="J71" i="9" s="1"/>
</calcChain>
</file>

<file path=xl/sharedStrings.xml><?xml version="1.0" encoding="utf-8"?>
<sst xmlns="http://schemas.openxmlformats.org/spreadsheetml/2006/main" count="345" uniqueCount="273">
  <si>
    <t>Indicator</t>
  </si>
  <si>
    <t>Suma</t>
  </si>
  <si>
    <t>Venituri din prestarea activităţii de arhitect</t>
  </si>
  <si>
    <t>Cheltuieli (din care):</t>
  </si>
  <si>
    <t xml:space="preserve">     - cheltuieli cu materiale </t>
  </si>
  <si>
    <t xml:space="preserve">     - cheltuieli cu chiria spațiului în care își desfășoară activitatea</t>
  </si>
  <si>
    <t xml:space="preserve">     - cheltuieli cu servicii achiziţionate</t>
  </si>
  <si>
    <t xml:space="preserve">     - cheltuieli cu energia electrică, telefon, apă, gaze</t>
  </si>
  <si>
    <t xml:space="preserve">     - cheltuieli cu sponsorizarea</t>
  </si>
  <si>
    <t xml:space="preserve">     - cheltuieli cu amenzile  </t>
  </si>
  <si>
    <t>Nr. Crt.</t>
  </si>
  <si>
    <t>1.</t>
  </si>
  <si>
    <t>2.</t>
  </si>
  <si>
    <t>3.</t>
  </si>
  <si>
    <t>4.</t>
  </si>
  <si>
    <t>5.</t>
  </si>
  <si>
    <t>6.</t>
  </si>
  <si>
    <t>7.</t>
  </si>
  <si>
    <t>8.</t>
  </si>
  <si>
    <t>9.</t>
  </si>
  <si>
    <t>10.</t>
  </si>
  <si>
    <t xml:space="preserve">11. </t>
  </si>
  <si>
    <t xml:space="preserve">12. </t>
  </si>
  <si>
    <t>Element</t>
  </si>
  <si>
    <t>Salariul de bază</t>
  </si>
  <si>
    <t>Alte drepturi salariale</t>
  </si>
  <si>
    <t>Avantaje în natură</t>
  </si>
  <si>
    <t>Reţineri (absente, CO fara plata, penalizari, etc.)</t>
  </si>
  <si>
    <t xml:space="preserve">Tichete </t>
  </si>
  <si>
    <t xml:space="preserve">Deduceri </t>
  </si>
  <si>
    <t>Avans salarial, rețineri în favoarea terților</t>
  </si>
  <si>
    <t>Sume</t>
  </si>
  <si>
    <t>0 </t>
  </si>
  <si>
    <t>Cadou Paste</t>
  </si>
  <si>
    <t>Avantaj auto</t>
  </si>
  <si>
    <t xml:space="preserve">Stimulent </t>
  </si>
  <si>
    <t xml:space="preserve">CAS 25% </t>
  </si>
  <si>
    <t xml:space="preserve">deducere suplimentară </t>
  </si>
  <si>
    <t>cotizatie sindicală</t>
  </si>
  <si>
    <t xml:space="preserve"> CASS 10% </t>
  </si>
  <si>
    <t>Venit net impozabil</t>
  </si>
  <si>
    <t>Impozit pe venitul din salarii ( 10%)</t>
  </si>
  <si>
    <t>Salariu net</t>
  </si>
  <si>
    <t>VENIT BRUT</t>
  </si>
  <si>
    <t>VENIT NET IMPOZABIL</t>
  </si>
  <si>
    <t>Luna</t>
  </si>
  <si>
    <t xml:space="preserve">Salariu de încadrare </t>
  </si>
  <si>
    <t xml:space="preserve">Numărul de zile lucrătoare </t>
  </si>
  <si>
    <t>Venituri din prestarea activităţii de expert contabil</t>
  </si>
  <si>
    <t>Aport în numerar făcut la începutul activității</t>
  </si>
  <si>
    <t xml:space="preserve">     - cheltuieli cu materialele consumabile </t>
  </si>
  <si>
    <t xml:space="preserve">     - cheltuieli cu internetul și telefonia</t>
  </si>
  <si>
    <t xml:space="preserve">     - cheltuieli cu utilitățile plătite în cursul anului 2026</t>
  </si>
  <si>
    <t xml:space="preserve">     - cheltuieli cu utilitățile pentru decembrie 2026, plătite în cursul anului 2027</t>
  </si>
  <si>
    <t xml:space="preserve">     - cheltuieli de protocol</t>
  </si>
  <si>
    <t xml:space="preserve">     - cheltuieli cu amenzile  pentru nerespectarea unor reglementări legale</t>
  </si>
  <si>
    <t>Dobânda aferentă împrumutului contractat de la o bancă pentru investiții la cabinetul de contabilitate</t>
  </si>
  <si>
    <t>Plata mobilier de birou – valoare totală. Durata estimată de utilizare – 6 ani, metodă liniară de amortizare.Mobilierul de birou se amortizează începând cu data de 1.04.2026</t>
  </si>
  <si>
    <t>Cotizație achitată la CECCAR pe anul 2026</t>
  </si>
  <si>
    <t>Vbrute =</t>
  </si>
  <si>
    <t xml:space="preserve">CH deductibile </t>
  </si>
  <si>
    <t>Ch cu sponsorizarea</t>
  </si>
  <si>
    <t>Ch cu achiziția casei de marcat</t>
  </si>
  <si>
    <t>Venit net anual</t>
  </si>
  <si>
    <t>CASS</t>
  </si>
  <si>
    <t>CAS</t>
  </si>
  <si>
    <t>Impozit pe venit</t>
  </si>
  <si>
    <t>V brute</t>
  </si>
  <si>
    <t>Ch deductibile</t>
  </si>
  <si>
    <t>Ch protocol</t>
  </si>
  <si>
    <t>Baza ch protocol</t>
  </si>
  <si>
    <t>Ch de protocol deductibile</t>
  </si>
  <si>
    <t>Ch de protocol nedeductibile</t>
  </si>
  <si>
    <t>Venitul brut</t>
  </si>
  <si>
    <t>Cheltuieli deductibile</t>
  </si>
  <si>
    <t xml:space="preserve">CAS </t>
  </si>
  <si>
    <t>Bonificație 3%</t>
  </si>
  <si>
    <t>Impozit pe venit de plată</t>
  </si>
  <si>
    <t>Norma de venit</t>
  </si>
  <si>
    <t>Norma de venit ajustată</t>
  </si>
  <si>
    <t>Norma de venit redusă</t>
  </si>
  <si>
    <t>V brut norma de venit</t>
  </si>
  <si>
    <t>Vnet sistem real</t>
  </si>
  <si>
    <t>Norma ajustată de venit</t>
  </si>
  <si>
    <t>Venit impozabil</t>
  </si>
  <si>
    <t xml:space="preserve">Impozit pe venit </t>
  </si>
  <si>
    <t>Venituri din dr de proprietate intelectuală</t>
  </si>
  <si>
    <t>a)</t>
  </si>
  <si>
    <t>reținut și plătit de plătitorul de venit</t>
  </si>
  <si>
    <t>b)</t>
  </si>
  <si>
    <t xml:space="preserve">CASS </t>
  </si>
  <si>
    <t>Impozitul</t>
  </si>
  <si>
    <t>40000x1,7x200/(200+140)</t>
  </si>
  <si>
    <t>Suma veniturilor pt 6 luni</t>
  </si>
  <si>
    <t>Nr zile lucratoare</t>
  </si>
  <si>
    <t>Media zilnică de calcul</t>
  </si>
  <si>
    <t>Cuantum indemnizație</t>
  </si>
  <si>
    <t>Plafon 1</t>
  </si>
  <si>
    <t>Plafon neimpozabil=2,5*23*3</t>
  </si>
  <si>
    <t>Suma acordată</t>
  </si>
  <si>
    <t>Diurnă impozabilă</t>
  </si>
  <si>
    <t>Plafon 2</t>
  </si>
  <si>
    <t>Plafon neimpozabil</t>
  </si>
  <si>
    <t>Plafon neimpozabil 1</t>
  </si>
  <si>
    <t>Venit neimpozabil</t>
  </si>
  <si>
    <t>Chiria</t>
  </si>
  <si>
    <t>Venituri din arendă brut</t>
  </si>
  <si>
    <t>Venit brut lunar</t>
  </si>
  <si>
    <t>Venit net lunat</t>
  </si>
  <si>
    <t>declarat si plătit de chiriaș PJ prin D100 25 a lunii urmat</t>
  </si>
  <si>
    <t>declarată și plătită prin DU 25 mai 2027</t>
  </si>
  <si>
    <t>Imp pe dividende</t>
  </si>
  <si>
    <t>Dividende nete</t>
  </si>
  <si>
    <t>reținut la sursă și declarat prin D100</t>
  </si>
  <si>
    <t>NU</t>
  </si>
  <si>
    <t>Veniturile de această natură se impozitează cu 6%</t>
  </si>
  <si>
    <t>prin broker</t>
  </si>
  <si>
    <t>PF nu depune DU, doar dacă este cazul pentru CASS mai mare de 6 salarii minime</t>
  </si>
  <si>
    <t>Pensie</t>
  </si>
  <si>
    <t>Pensie netă</t>
  </si>
  <si>
    <t>Valoare vanzare apartament</t>
  </si>
  <si>
    <t>Impozit pe tranzactie apart</t>
  </si>
  <si>
    <t>Valoare vanzare teren</t>
  </si>
  <si>
    <t>Impozit tranzactie teren</t>
  </si>
  <si>
    <t>Notarul reține și plătește D208</t>
  </si>
  <si>
    <t>CAS?CASS</t>
  </si>
  <si>
    <t>Impozit cu reținere la sursă</t>
  </si>
  <si>
    <t>Venit net încasat</t>
  </si>
  <si>
    <t>ACTIV INDEPENDENTE</t>
  </si>
  <si>
    <t>Venituri brute</t>
  </si>
  <si>
    <t xml:space="preserve">Cheltuieli deductibile </t>
  </si>
  <si>
    <t>Cheltuieli deductibile limitat</t>
  </si>
  <si>
    <t>Amortizarea lunară</t>
  </si>
  <si>
    <t>Amortizare 2026 (apr -dec)</t>
  </si>
  <si>
    <t>Cotizație CECCAR = 5%*Venit  brut</t>
  </si>
  <si>
    <t>Cotizație CECCAR plătită</t>
  </si>
  <si>
    <t>Cheltuieli de protocol = 2%x(Venit brut - Ch ded)</t>
  </si>
  <si>
    <t>Cheltuieli de protocol ded</t>
  </si>
  <si>
    <t>Venit net anual = Venit brut - Ch ded</t>
  </si>
  <si>
    <t>Chelt ded anuale</t>
  </si>
  <si>
    <t>Venit net</t>
  </si>
  <si>
    <t>Venit net arenda</t>
  </si>
  <si>
    <t>Imp pe venit arenda</t>
  </si>
  <si>
    <t>Venit net chirie</t>
  </si>
  <si>
    <t>Impozit chirie</t>
  </si>
  <si>
    <t>Venit net drepturi de autor</t>
  </si>
  <si>
    <t>Imp dr de autor</t>
  </si>
  <si>
    <t>Venit net vanz apart</t>
  </si>
  <si>
    <t>Imp tr dr de pr</t>
  </si>
  <si>
    <t>Venit arenda incasat</t>
  </si>
  <si>
    <t>Venit chirie incasat</t>
  </si>
  <si>
    <t>Venituri nete arenda +chirie</t>
  </si>
  <si>
    <t xml:space="preserve">Avantaje in natura </t>
  </si>
  <si>
    <t>Plafon</t>
  </si>
  <si>
    <t>Tichete</t>
  </si>
  <si>
    <t>Ed timpurie</t>
  </si>
  <si>
    <t>Chirie</t>
  </si>
  <si>
    <t>neimp</t>
  </si>
  <si>
    <t>imp</t>
  </si>
  <si>
    <t>Serv med</t>
  </si>
  <si>
    <t>Total</t>
  </si>
  <si>
    <t>6.000  </t>
  </si>
  <si>
    <t>Avantaje în natură (1)</t>
  </si>
  <si>
    <t>Rețineri (absente, CO fără plata, penalizări, etc.)</t>
  </si>
  <si>
    <t xml:space="preserve">Venit brut (1+ 2 + 3 – 4+8+9)  </t>
  </si>
  <si>
    <t xml:space="preserve">CAS 25% *( 5-8-9)       </t>
  </si>
  <si>
    <t xml:space="preserve">CASS (10% * (5-9)      </t>
  </si>
  <si>
    <t xml:space="preserve"> Vouchere de vacanta  (vezi art.142 lit r și art.157 alin.2)   Impo+CASS</t>
  </si>
  <si>
    <t xml:space="preserve">Tichete  culturale (vezi art.142 lit.r) și art.157 alin.2)  Impo </t>
  </si>
  <si>
    <t>Deduceri  (2)</t>
  </si>
  <si>
    <t xml:space="preserve">Venit net (5 – 6 – 7  - 10)     </t>
  </si>
  <si>
    <t>Impozit pe venitul din salarii (11 * 10%)</t>
  </si>
  <si>
    <t>(1)   Avantaje in natura  (beneficii impozabile)</t>
  </si>
  <si>
    <t>Beneficii integral impozabile = 0</t>
  </si>
  <si>
    <t>Beneficii (Venituri neimpozabile) cu limita individuala:</t>
  </si>
  <si>
    <t xml:space="preserve">Cadouri 8 martie =100 lei </t>
  </si>
  <si>
    <t>Beneficii dublu limitate</t>
  </si>
  <si>
    <t>Beneficiu</t>
  </si>
  <si>
    <t>Limita individuala</t>
  </si>
  <si>
    <t>Venit neimpozabil in limită   individuală</t>
  </si>
  <si>
    <t>Venit impozabil (depasește limita individuală)</t>
  </si>
  <si>
    <t>Hrană zilnică</t>
  </si>
  <si>
    <t xml:space="preserve">In limita valorii unui tichet de masă,  se incadrează </t>
  </si>
  <si>
    <t>30 x 22=660</t>
  </si>
  <si>
    <t>Educatia timpurie</t>
  </si>
  <si>
    <t>1500 lei/copil/luna</t>
  </si>
  <si>
    <t xml:space="preserve">Chirie </t>
  </si>
  <si>
    <t>20% x4.050=810</t>
  </si>
  <si>
    <t>1400-810=590</t>
  </si>
  <si>
    <t>Servicii medicale</t>
  </si>
  <si>
    <t>400 euro/an x 5 lei/euro=2000</t>
  </si>
  <si>
    <t>Analiza încadrare in plafonul cumulat de 33% x 6.000 = 1.980</t>
  </si>
  <si>
    <t>33% x6.000=1.980</t>
  </si>
  <si>
    <t xml:space="preserve">2590-1980=610 lei venit impozabil    </t>
  </si>
  <si>
    <t xml:space="preserve">Venit impozabil total = 590+610=1200        </t>
  </si>
  <si>
    <t xml:space="preserve">Total avantaje impozabile = 1.200+100 depasire cadou=1.300    </t>
  </si>
  <si>
    <t>(2)   Deduceri</t>
  </si>
  <si>
    <t>Deducerea de baza = 0</t>
  </si>
  <si>
    <t>Ded suplimentara de varsta = 0</t>
  </si>
  <si>
    <t>Ded suplimentara de copil = 200 (2 copii)</t>
  </si>
  <si>
    <t>Cotizatai sindicala=50</t>
  </si>
  <si>
    <t xml:space="preserve">Abonament la sala de sport suportat de angajat = 100 </t>
  </si>
  <si>
    <t>In ianuarie a fost dedus 200 lei, in februarie a fost dedus 200 lei, ramane ca in martie sa se deduca diferenta de 100 lei.</t>
  </si>
  <si>
    <t>100 euro x5 lei/euro =500 lei</t>
  </si>
  <si>
    <t>e)</t>
  </si>
  <si>
    <t>Suma redirecționată = 6000 x3,5%=210 lei (prin formularul 230)</t>
  </si>
  <si>
    <t xml:space="preserve">Norma se ajustează corespunzator perioadei de activitate = 47.000 x (5/12) =19.583 </t>
  </si>
  <si>
    <t>Impozitul anual = 10% x  norma de venit ajustată + 10% x (Venit net anual– CAS – CASS)</t>
  </si>
  <si>
    <t>Vnet = Vbrut – Cheltuieli  deductibile</t>
  </si>
  <si>
    <t>Vbrut = 97.230 lei</t>
  </si>
  <si>
    <t>Analiza cheltuieli de protocol:</t>
  </si>
  <si>
    <t>Ø  Cheltuieli de protocol deductibile=(97.230 lei-71.800 lei) x 2%=508,60 lei</t>
  </si>
  <si>
    <t>Ø  Cheltuieli de protocol nedeductibile=550 lei-508,60 lei=41,40 lei</t>
  </si>
  <si>
    <t>Cheltuieli deductibile=71.800+508,6=72.309 lei</t>
  </si>
  <si>
    <t>Venit net anual=97.230 lei-72.309 lei=24.921 lei</t>
  </si>
  <si>
    <t>Analiză încadrare plafon CAS:</t>
  </si>
  <si>
    <t>12 sal min = 48.600 &gt; (24.921 + 19.583) = 44.504 lei =&gt; nu este obligat la plata CAS, dar optează pentru 12 sal min = 25% x 48.600 = 12.150</t>
  </si>
  <si>
    <t>Analiză încadrare CASS</t>
  </si>
  <si>
    <t>Lim max = 72 sal min &gt; 44.504 =&gt; CASS = 10% x 44.504 =4.450</t>
  </si>
  <si>
    <t>Norma ajustata=19.583 lei</t>
  </si>
  <si>
    <t>Venit brut=97.230 lei</t>
  </si>
  <si>
    <t>Cheltuieli deductibile=72.309 lei</t>
  </si>
  <si>
    <t>-----------------------------------------------</t>
  </si>
  <si>
    <t>Venit net annual=24.921</t>
  </si>
  <si>
    <t>Venit net anual total=19.583+24.921=44.504</t>
  </si>
  <si>
    <t>Venit net anual total=19.583+24.921=44.504 &lt; 48.600 (12 salarii minime)</t>
  </si>
  <si>
    <t>Optează pentru plata CAS la salariul minim (12 x4.050) x25%.</t>
  </si>
  <si>
    <t>Ponderea venitului net anual determinat în sistem real în total venituri cumulate =</t>
  </si>
  <si>
    <t>=24.921 lei/44.504 lei=0.55997213733</t>
  </si>
  <si>
    <t>CAS prin opțiune=(12 salarii minime x4.050 lei/lună) x25%=12.150 lei</t>
  </si>
  <si>
    <t>CAS deductibilă =12.150 lei x 0.55997213733=6.804 lei</t>
  </si>
  <si>
    <t>CASS datorată=44.504 lei x10%=4.450 lei</t>
  </si>
  <si>
    <t>CASS deductibilă= 4450 lei x 0.55997213733=2.492   lei</t>
  </si>
  <si>
    <t>Impozit anual pe venit =19.583 lei x10% + (24.921 lei-6.804 lei-2.492 lei) x10%=19.583 lei x10% + 15.625 lei x10%= 1.958  lei+ 1.563 lei=3,521 lei</t>
  </si>
  <si>
    <t>Sumarul obligațiilor:</t>
  </si>
  <si>
    <t>·       Impozit pe venut anual=3.521 lei</t>
  </si>
  <si>
    <t>·       CAS=12.150 lei</t>
  </si>
  <si>
    <t>·       CASS=4.450 lei/</t>
  </si>
  <si>
    <t>Contribuabilul depune declarația unică până la data de 15 aprile 2026 și își achită obligațiile fiscale până la această dată.</t>
  </si>
  <si>
    <t>Bonificație impozit:</t>
  </si>
  <si>
    <t>Impozit pe venit annual=3521 lei</t>
  </si>
  <si>
    <t>Bonificatie =106 lei</t>
  </si>
  <si>
    <t>Total impozit de plata=3415 lei</t>
  </si>
  <si>
    <t>REZOLVARE</t>
  </si>
  <si>
    <t>TEST DE AUTOEVALUARE</t>
  </si>
  <si>
    <t>FISCALITATE</t>
  </si>
  <si>
    <t xml:space="preserve">INTALNIREA 2. ANUL 2. </t>
  </si>
  <si>
    <t>TEST FINAL</t>
  </si>
  <si>
    <t xml:space="preserve">1.    Intră în categoria veniturilor impozabile din salarii: </t>
  </si>
  <si>
    <t>a)    telefonul folosit în interesul afacerii</t>
  </si>
  <si>
    <t>b)   indemnizaţia de delegare în limita a 2,5 ori nivelul stabilit pentru instituţii publice</t>
  </si>
  <si>
    <t>c)    contravaloarea bonurilor de masă</t>
  </si>
  <si>
    <t>d)   contravaloarea transportului între localitatea de domiciliu şi localitatea unde se află locul de muncă</t>
  </si>
  <si>
    <t>2.    Dacă un contribuabil desfăşoară două sau mai multe activităţi impuse pe bază de norme de venit, venitul net din aceste activităţi se stabileşte:</t>
  </si>
  <si>
    <t>a)   prin însumarea nivelului normelor de venit corespunzătoare fiecărei activităţi</t>
  </si>
  <si>
    <t>b)   prin alegerea normei de venit cea mai mare</t>
  </si>
  <si>
    <t>c)    calculând media aritmetică a normelor de venit</t>
  </si>
  <si>
    <t>d)   prin alegerea normei de venit cea mai mică</t>
  </si>
  <si>
    <t>3.În categoria veniturilor din activităţi independente nu intră:</t>
  </si>
  <si>
    <t>a)   veniturile din salarii;</t>
  </si>
  <si>
    <t>b)   veniturile comerciale</t>
  </si>
  <si>
    <t>c)    veniturile din profesii liberale</t>
  </si>
  <si>
    <t>d)   venturile din prestări de servicii de consultanţă</t>
  </si>
  <si>
    <t>4.Care este valoarea avantajelor asimilate salariului?</t>
  </si>
  <si>
    <t>1. deplasare in interes de serviciu, în sumă de 1.425 lei/an;</t>
  </si>
  <si>
    <t>2. contravaloarea echipamentului de protecție, acordat conform legii, în sumă de 200 lei;</t>
  </si>
  <si>
    <t>3. contravaloarea unui cadou acordat angajatului cu ocazia Crăciunului, în sumă de 350 lei;</t>
  </si>
  <si>
    <t>4. contravaloarea unui cadou acordat angajatului cu ocazia zilei sale de naștere, în sumă de 150 lei;</t>
  </si>
  <si>
    <t xml:space="preserve">             a)  550 lei;           b) 200 lei;             c) 350 lei;                      d) 150 lei</t>
  </si>
  <si>
    <t>5.O persoană fizică deține un teren agricol pe care îl dă în arendă la o societate agricolă, pentru care a primit în anul 2026 produse agricole evaluate la valoarea brută de 48.000 lei.</t>
  </si>
  <si>
    <t>Care este valoarea impozitului reținut la sură de către plătitor în cursul anului?</t>
  </si>
  <si>
    <t>a) 3.840 lei;                 b) 4.800 lei;                       c) 3.000 lei;                     d) 3.480 lei</t>
  </si>
  <si>
    <t>Pentru arenda+chirie analizam CASS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</si>
</sst>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theme="1"/>
      <name val="Calibri"/>
      <family val="2"/>
      <scheme val="minor"/>
    </font>
    <font>
      <sz val="11"/>
      <color rgb="FFFF0000"/>
      <name val="Calibri"/>
      <family val="2"/>
      <charset val="238"/>
      <scheme val="minor"/>
    </font>
    <font>
      <b/>
      <sz val="11"/>
      <color theme="1"/>
      <name val="Calibri"/>
      <family val="2"/>
      <charset val="238"/>
      <scheme val="minor"/>
    </font>
    <font>
      <b/>
      <sz val="12"/>
      <color theme="1"/>
      <name val="Times New Roman"/>
      <family val="1"/>
      <charset val="238"/>
    </font>
    <font>
      <sz val="12"/>
      <color theme="1"/>
      <name val="Times New Roman"/>
      <family val="1"/>
      <charset val="238"/>
    </font>
    <font>
      <b/>
      <i/>
      <sz val="11"/>
      <color theme="1"/>
      <name val="Calibri"/>
      <family val="2"/>
      <charset val="238"/>
      <scheme val="minor"/>
    </font>
    <font>
      <sz val="11"/>
      <color rgb="FFFF0000"/>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3" fontId="0" fillId="0" borderId="0" xfId="0" applyNumberFormat="1"/>
    <xf numFmtId="0" fontId="2" fillId="0" borderId="0" xfId="0" applyFont="1"/>
    <xf numFmtId="0" fontId="0" fillId="0" borderId="1" xfId="0" applyBorder="1"/>
    <xf numFmtId="3" fontId="0" fillId="0" borderId="1" xfId="0" applyNumberFormat="1" applyBorder="1"/>
    <xf numFmtId="0" fontId="2" fillId="0" borderId="1" xfId="0" applyFont="1" applyBorder="1"/>
    <xf numFmtId="0" fontId="5" fillId="0" borderId="1" xfId="0" applyFont="1" applyBorder="1"/>
    <xf numFmtId="0" fontId="4" fillId="0" borderId="1" xfId="0" applyFont="1" applyBorder="1"/>
    <xf numFmtId="3" fontId="4" fillId="0" borderId="1" xfId="0" applyNumberFormat="1" applyFont="1" applyBorder="1"/>
    <xf numFmtId="0" fontId="3" fillId="0" borderId="1" xfId="0" applyFont="1" applyBorder="1"/>
    <xf numFmtId="0" fontId="4" fillId="0" borderId="1" xfId="0" applyFont="1" applyBorder="1" applyAlignment="1">
      <alignment wrapText="1"/>
    </xf>
    <xf numFmtId="0" fontId="4" fillId="0" borderId="0" xfId="0" applyFont="1"/>
    <xf numFmtId="1" fontId="0" fillId="0" borderId="0" xfId="0" applyNumberFormat="1"/>
    <xf numFmtId="2" fontId="0" fillId="0" borderId="0" xfId="0" applyNumberFormat="1"/>
    <xf numFmtId="1" fontId="0" fillId="0" borderId="1" xfId="0" applyNumberFormat="1" applyBorder="1"/>
    <xf numFmtId="164" fontId="0" fillId="0" borderId="0" xfId="0" applyNumberFormat="1"/>
    <xf numFmtId="1" fontId="2" fillId="0" borderId="0" xfId="0" applyNumberFormat="1" applyFont="1"/>
    <xf numFmtId="1" fontId="0" fillId="0" borderId="0" xfId="0" applyNumberFormat="1" applyAlignment="1">
      <alignment horizontal="left" indent="1"/>
    </xf>
    <xf numFmtId="0" fontId="6" fillId="0" borderId="0" xfId="0" applyFont="1"/>
    <xf numFmtId="3" fontId="6" fillId="0" borderId="0" xfId="0" applyNumberFormat="1"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228600</xdr:colOff>
      <xdr:row>2</xdr:row>
      <xdr:rowOff>30480</xdr:rowOff>
    </xdr:from>
    <xdr:to>
      <xdr:col>7</xdr:col>
      <xdr:colOff>160020</xdr:colOff>
      <xdr:row>12</xdr:row>
      <xdr:rowOff>30480</xdr:rowOff>
    </xdr:to>
    <xdr:sp macro="" textlink="">
      <xdr:nvSpPr>
        <xdr:cNvPr id="3" name="CasetăText 2">
          <a:extLst>
            <a:ext uri="{FF2B5EF4-FFF2-40B4-BE49-F238E27FC236}">
              <a16:creationId xmlns:a16="http://schemas.microsoft.com/office/drawing/2014/main" id="{756660C4-A802-9784-BA23-322BE4D0BC5C}"/>
            </a:ext>
          </a:extLst>
        </xdr:cNvPr>
        <xdr:cNvSpPr txBox="1"/>
      </xdr:nvSpPr>
      <xdr:spPr>
        <a:xfrm>
          <a:off x="228600" y="396240"/>
          <a:ext cx="7475220" cy="1828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1.</a:t>
          </a:r>
          <a:r>
            <a:rPr lang="ro-RO" sz="1200">
              <a:effectLst/>
              <a:latin typeface="Times New Roman" panose="02020603050405020304" pitchFamily="18" charset="0"/>
              <a:ea typeface="Calibri" panose="020F0502020204030204" pitchFamily="34" charset="0"/>
              <a:cs typeface="Times New Roman" panose="02020603050405020304" pitchFamily="18" charset="0"/>
            </a:rPr>
            <a:t> Un contribuabil desfăşoară în anul 2026 o activitate independentă impusă în sistem real. Acesta obţine în anul 2026 venituri brute din activităţi independente în valoare de 30.000 lei, iar cheltuielile deductibile efectuate sunt de 10.000 lei. Separat de aceste cheltuieli, acesta a mai efectuat cheltuieli cu sponsorizarea în valoare de 1.200 lei și cheltuieli cu achiziția unei case de marcat în sumă de 1.000 lei Casa de marcat a fost pusă în funcțiune în luna ianuarie 2026. </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i="1">
              <a:effectLst/>
              <a:latin typeface="Times New Roman" panose="02020603050405020304" pitchFamily="18" charset="0"/>
              <a:ea typeface="Calibri" panose="020F0502020204030204" pitchFamily="34" charset="0"/>
              <a:cs typeface="Times New Roman" panose="02020603050405020304" pitchFamily="18" charset="0"/>
            </a:rPr>
            <a:t>Determinați impozitul pe venit datorat de persoana fizică, ce trebuie declarat în declarația unică.</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endParaRPr lang="ro-RO" sz="1100"/>
        </a:p>
      </xdr:txBody>
    </xdr:sp>
    <xdr:clientData/>
  </xdr:twoCellAnchor>
  <xdr:twoCellAnchor>
    <xdr:from>
      <xdr:col>0</xdr:col>
      <xdr:colOff>0</xdr:colOff>
      <xdr:row>24</xdr:row>
      <xdr:rowOff>0</xdr:rowOff>
    </xdr:from>
    <xdr:to>
      <xdr:col>6</xdr:col>
      <xdr:colOff>243840</xdr:colOff>
      <xdr:row>29</xdr:row>
      <xdr:rowOff>175260</xdr:rowOff>
    </xdr:to>
    <xdr:sp macro="" textlink="">
      <xdr:nvSpPr>
        <xdr:cNvPr id="5" name="CasetăText 4">
          <a:extLst>
            <a:ext uri="{FF2B5EF4-FFF2-40B4-BE49-F238E27FC236}">
              <a16:creationId xmlns:a16="http://schemas.microsoft.com/office/drawing/2014/main" id="{58A32524-CA08-47BF-832D-D4A29BB99F44}"/>
            </a:ext>
          </a:extLst>
        </xdr:cNvPr>
        <xdr:cNvSpPr txBox="1"/>
      </xdr:nvSpPr>
      <xdr:spPr>
        <a:xfrm>
          <a:off x="0" y="4389120"/>
          <a:ext cx="7178040" cy="108966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2.</a:t>
          </a:r>
          <a:r>
            <a:rPr lang="ro-RO" sz="1200">
              <a:effectLst/>
              <a:latin typeface="Times New Roman" panose="02020603050405020304" pitchFamily="18" charset="0"/>
              <a:ea typeface="Calibri" panose="020F0502020204030204" pitchFamily="34" charset="0"/>
              <a:cs typeface="Times New Roman" panose="02020603050405020304" pitchFamily="18" charset="0"/>
            </a:rPr>
            <a:t>  Un contribuabil desfăşoară în anul 2026 o activitate independentă impusă în sistem real. Acesta obţine în anul 2026 venituri brute în valoare de 30.000 lei, iar cheltuielile deductibile efectuate sunt de 10.000 lei. Separat de aceste cheltuieli, acesta a mai efectuat cheltuieli cu protocolul în valoare de 500 lei.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Determinați impozitul pe venit datorat de persoana fizică, ce trebuie declarat în declarația unică..</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0</xdr:col>
      <xdr:colOff>0</xdr:colOff>
      <xdr:row>46</xdr:row>
      <xdr:rowOff>0</xdr:rowOff>
    </xdr:from>
    <xdr:to>
      <xdr:col>7</xdr:col>
      <xdr:colOff>99060</xdr:colOff>
      <xdr:row>54</xdr:row>
      <xdr:rowOff>53340</xdr:rowOff>
    </xdr:to>
    <xdr:sp macro="" textlink="">
      <xdr:nvSpPr>
        <xdr:cNvPr id="6" name="CasetăText 5">
          <a:extLst>
            <a:ext uri="{FF2B5EF4-FFF2-40B4-BE49-F238E27FC236}">
              <a16:creationId xmlns:a16="http://schemas.microsoft.com/office/drawing/2014/main" id="{F036431C-C7DE-414D-B8CE-67889CD2BACE}"/>
            </a:ext>
          </a:extLst>
        </xdr:cNvPr>
        <xdr:cNvSpPr txBox="1"/>
      </xdr:nvSpPr>
      <xdr:spPr>
        <a:xfrm>
          <a:off x="0" y="8412480"/>
          <a:ext cx="7642860" cy="151638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3.</a:t>
          </a:r>
          <a:r>
            <a:rPr lang="ro-RO" sz="1200">
              <a:effectLst/>
              <a:latin typeface="Times New Roman" panose="02020603050405020304" pitchFamily="18" charset="0"/>
              <a:ea typeface="Calibri" panose="020F0502020204030204" pitchFamily="34" charset="0"/>
              <a:cs typeface="Times New Roman" panose="02020603050405020304" pitchFamily="18" charset="0"/>
            </a:rPr>
            <a:t>  Un contribuabil desfăşoară în anul 2026 o activitate independentă impusă în sistem real încadrată la codul CAEN 7111 </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r>
            <a:rPr lang="ro-RO" sz="1200">
              <a:effectLst/>
              <a:latin typeface="Times New Roman" panose="02020603050405020304" pitchFamily="18" charset="0"/>
              <a:ea typeface="Calibri" panose="020F0502020204030204" pitchFamily="34" charset="0"/>
              <a:cs typeface="Times New Roman" panose="02020603050405020304" pitchFamily="18" charset="0"/>
            </a:rPr>
            <a:t>Activități de arhitectură”. Contribuabilul prezintă următoarea situație a veniturilor și cheltuielilor  în anul 2026</a:t>
          </a:r>
          <a:r>
            <a:rPr lang="ro-RO" sz="1200" baseline="0">
              <a:effectLst/>
              <a:latin typeface="Times New Roman" panose="02020603050405020304" pitchFamily="18" charset="0"/>
              <a:ea typeface="Calibri" panose="020F0502020204030204" pitchFamily="34" charset="0"/>
              <a:cs typeface="Times New Roman" panose="02020603050405020304" pitchFamily="18" charset="0"/>
            </a:rPr>
            <a:t> (Tabel)</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en-GB" sz="1100">
              <a:effectLst/>
              <a:latin typeface="Times New Roman" panose="02020603050405020304" pitchFamily="18" charset="0"/>
              <a:ea typeface="Calibri" panose="020F0502020204030204" pitchFamily="34" charset="0"/>
              <a:cs typeface="Times New Roman" panose="02020603050405020304" pitchFamily="18" charset="0"/>
            </a:rPr>
            <a:t>Contribuabilul depune declarația unică până la data de 15 aprile 2026 și își achită obligațiile fiscale până la această dată. </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1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Determinați obligațiile de plată ale contribuabilului aferente anului 2026.</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251460</xdr:colOff>
      <xdr:row>88</xdr:row>
      <xdr:rowOff>15240</xdr:rowOff>
    </xdr:from>
    <xdr:to>
      <xdr:col>8</xdr:col>
      <xdr:colOff>342900</xdr:colOff>
      <xdr:row>96</xdr:row>
      <xdr:rowOff>83820</xdr:rowOff>
    </xdr:to>
    <xdr:sp macro="" textlink="">
      <xdr:nvSpPr>
        <xdr:cNvPr id="8" name="CasetăText 7">
          <a:extLst>
            <a:ext uri="{FF2B5EF4-FFF2-40B4-BE49-F238E27FC236}">
              <a16:creationId xmlns:a16="http://schemas.microsoft.com/office/drawing/2014/main" id="{5FC8A3F1-D895-4832-9C30-811DEABDFA14}"/>
            </a:ext>
          </a:extLst>
        </xdr:cNvPr>
        <xdr:cNvSpPr txBox="1"/>
      </xdr:nvSpPr>
      <xdr:spPr>
        <a:xfrm>
          <a:off x="251460" y="16245840"/>
          <a:ext cx="8244840" cy="15316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4.</a:t>
          </a:r>
          <a:r>
            <a:rPr lang="ro-RO" sz="1200">
              <a:effectLst/>
              <a:latin typeface="Times New Roman" panose="02020603050405020304" pitchFamily="18" charset="0"/>
              <a:ea typeface="Calibri" panose="020F0502020204030204" pitchFamily="34" charset="0"/>
              <a:cs typeface="Times New Roman" panose="02020603050405020304" pitchFamily="18" charset="0"/>
            </a:rPr>
            <a:t>  Un contribuabil care desfăşoară în anul 2026 o activitate independentă impusă pe baza normelor de venit, îşi întrerupe activitatea în cursul unui an fiscal, datorită unei îmbolnăviri ce necesită spitalizare, pentru o perioadă de 30 de zile. Norma anuală de venit este în sumă de 30.000 lei.</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Contribuabilul face o cerere de reducere a normei de venit, iar pe baza certificatului de spitalizare, organul fiscal o aprobă.</a:t>
          </a: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Contribuabilul optează pentru plata CAS la salariul minim.</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a:buNone/>
          </a:pPr>
          <a:r>
            <a:rPr lang="ro-RO" sz="1200" i="1">
              <a:effectLst/>
              <a:latin typeface="Times New Roman" panose="02020603050405020304" pitchFamily="18" charset="0"/>
              <a:ea typeface="Calibri" panose="020F0502020204030204" pitchFamily="34" charset="0"/>
            </a:rPr>
            <a:t>Determinați impozitul pe venit datorat de persoana fizică, ce trebuie declarat în declarația </a:t>
          </a:r>
          <a:endParaRPr kumimoji="0" lang="ro-RO"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109</xdr:row>
      <xdr:rowOff>0</xdr:rowOff>
    </xdr:from>
    <xdr:to>
      <xdr:col>9</xdr:col>
      <xdr:colOff>91440</xdr:colOff>
      <xdr:row>117</xdr:row>
      <xdr:rowOff>68580</xdr:rowOff>
    </xdr:to>
    <xdr:sp macro="" textlink="">
      <xdr:nvSpPr>
        <xdr:cNvPr id="9" name="CasetăText 8">
          <a:extLst>
            <a:ext uri="{FF2B5EF4-FFF2-40B4-BE49-F238E27FC236}">
              <a16:creationId xmlns:a16="http://schemas.microsoft.com/office/drawing/2014/main" id="{3C4E1CBC-36A1-4CA9-BBEB-3A149E1C60EC}"/>
            </a:ext>
          </a:extLst>
        </xdr:cNvPr>
        <xdr:cNvSpPr txBox="1"/>
      </xdr:nvSpPr>
      <xdr:spPr>
        <a:xfrm>
          <a:off x="609600" y="20071080"/>
          <a:ext cx="8244840" cy="15316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5.</a:t>
          </a:r>
          <a:r>
            <a:rPr lang="ro-RO" sz="1200">
              <a:effectLst/>
              <a:latin typeface="Times New Roman" panose="02020603050405020304" pitchFamily="18" charset="0"/>
              <a:ea typeface="Calibri" panose="020F0502020204030204" pitchFamily="34" charset="0"/>
              <a:cs typeface="Times New Roman" panose="02020603050405020304" pitchFamily="18" charset="0"/>
            </a:rPr>
            <a:t>  O persoană fizică este impusă pe bază de norme de venit de la începutul anului 2026 pentru primele 100 de zile, urmând ca apoi să fie impusă în sistem real pe baza datelor din contabilitate, deoarece a completat obiectul de activitate cu o altă activitate care nu este cuprinsă în nomenclatorul normelor de venit anuale.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Norma de venit anuală stabilită este de 30.000 lei, iar venitul net rezultat din contabilitate (pentru perioada pentru care a fost determinat în acest sistem) este de 20.000 lei.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i="1">
              <a:effectLst/>
              <a:latin typeface="Times New Roman" panose="02020603050405020304" pitchFamily="18" charset="0"/>
              <a:ea typeface="Calibri" panose="020F0502020204030204" pitchFamily="34" charset="0"/>
              <a:cs typeface="Times New Roman" panose="02020603050405020304" pitchFamily="18" charset="0"/>
            </a:rPr>
            <a:t>Determinati  venitul net anual.</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327660</xdr:colOff>
      <xdr:row>32</xdr:row>
      <xdr:rowOff>121920</xdr:rowOff>
    </xdr:to>
    <xdr:sp macro="" textlink="">
      <xdr:nvSpPr>
        <xdr:cNvPr id="2" name="CasetăText 1">
          <a:extLst>
            <a:ext uri="{FF2B5EF4-FFF2-40B4-BE49-F238E27FC236}">
              <a16:creationId xmlns:a16="http://schemas.microsoft.com/office/drawing/2014/main" id="{7ADD5FD9-3590-4EF8-A308-71CD6F9C4501}"/>
            </a:ext>
          </a:extLst>
        </xdr:cNvPr>
        <xdr:cNvSpPr txBox="1"/>
      </xdr:nvSpPr>
      <xdr:spPr>
        <a:xfrm>
          <a:off x="609600" y="182880"/>
          <a:ext cx="8252460" cy="57912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Aplicația 2</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Situația unei persoane fizice care nu este pensionar și nu obține venituri din salarii se prezintă după cum urmează:</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desfășoară începând cu data de 1.01.2026 o activitate impusă pe baza normelor de venit în Constanța, care se încadrează la „</a:t>
          </a:r>
          <a:r>
            <a:rPr lang="en-GB"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Lucrări de instalațiie lectrice -cod CAEN 4321)</a:t>
          </a:r>
          <a:r>
            <a:rPr lang="en-GB"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norma anuală de venit fiind în sumă de 47.000 lei. În luna martie 2026, acesta își   întrerupe activitatea timp de 31 zile, ca urmare a unei îmbolnăviri care necesită spitalizare. Contribuabilul face o cerere de reducere a normei de venit, iar pe baza certificatului medical eliberat de unitatea spitalicească, organul fiscal o aprobă. Începând cu 1.07.2026 își continuă activitatea, aceasta fiind impusă în sistem real, pe baza datelor din contabilitate, deoarece și-a completat obiectul de activitate cu o altă activitate, care nu este cuprinsă în nomenclator. Situația efectiv realizată în perioada 1.07.2026-31.12.2026 se prezintă după cum urmează:</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-venitul brut impozabil 97.230 lei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-cheltuieli  efectiv realizate 74.850 lei din care cheltuieli cu sponsorizarea 1.500 lei, cheltuieli de protocol 550 lei, amenzi pentru  nerespectarea unor prevederi legale 1.000 lei (restul cheltuielilor sunt integral deductibile).</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Contribuabilul optează pentru plata CAS la nivelul salariului minim.</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a:effectLst/>
              <a:latin typeface="Times New Roman" panose="02020603050405020304" pitchFamily="18" charset="0"/>
              <a:ea typeface="Calibri" panose="020F0502020204030204" pitchFamily="34" charset="0"/>
              <a:cs typeface="Times New Roman" panose="02020603050405020304" pitchFamily="18" charset="0"/>
            </a:rPr>
            <a:t>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In baza informațiilor de mai sus:</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spc="-1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 </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Determinați venitul net realizat și valoarea impozitului pe veniturile obținute din activități independente derulate în anul 2026. Precizați modalitatea prin care acest impozit se declară și se plătește la bugetul de stat.</a:t>
          </a:r>
          <a:r>
            <a:rPr lang="ro-RO" sz="1200">
              <a:effectLst/>
              <a:latin typeface="Times New Roman" panose="02020603050405020304" pitchFamily="18" charset="0"/>
              <a:ea typeface="Calibri" panose="020F0502020204030204" pitchFamily="34" charset="0"/>
              <a:cs typeface="Times New Roman" panose="02020603050405020304" pitchFamily="18" charset="0"/>
            </a:rPr>
            <a:t> </a:t>
          </a:r>
          <a:r>
            <a:rPr lang="en-GB" sz="1200">
              <a:effectLst/>
              <a:latin typeface="Times New Roman" panose="02020603050405020304" pitchFamily="18" charset="0"/>
              <a:ea typeface="Calibri" panose="020F0502020204030204" pitchFamily="34" charset="0"/>
              <a:cs typeface="Times New Roman" panose="02020603050405020304" pitchFamily="18" charset="0"/>
            </a:rPr>
            <a:t>Contribuabilul depune declarația unică până la data de 15 aprile 2026 și își achită obligațiile fiscale până la această dată.</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ii) Determinați impozitul datorat pentru veniturile obținute din închiriere precum și impozitul pe venitul din activități agricole. Precizați modalitatea prin care aceste impozite se declară și se plătesc la bugetul de stat.</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iii) Analizați dacă persoana fizică datorează contribuții sociale în anul 2026 pentru veniturile obținute, și dacă da, determinați suma lor.Salariul minim brut aferent anului 2026 este de 4.050 lei/lună. Precizați modalitatea prin care aceste contribuții sociale se declară și se plătesc la bugetul de stat.</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320040</xdr:colOff>
      <xdr:row>11</xdr:row>
      <xdr:rowOff>106680</xdr:rowOff>
    </xdr:to>
    <xdr:sp macro="" textlink="">
      <xdr:nvSpPr>
        <xdr:cNvPr id="2" name="CasetăText 1">
          <a:extLst>
            <a:ext uri="{FF2B5EF4-FFF2-40B4-BE49-F238E27FC236}">
              <a16:creationId xmlns:a16="http://schemas.microsoft.com/office/drawing/2014/main" id="{E3A070AD-AB13-41EB-9049-4149A321B1A8}"/>
            </a:ext>
          </a:extLst>
        </xdr:cNvPr>
        <xdr:cNvSpPr txBox="1"/>
      </xdr:nvSpPr>
      <xdr:spPr>
        <a:xfrm>
          <a:off x="609600" y="182880"/>
          <a:ext cx="8244840" cy="193548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6.</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O persoană fizică obţine în cursul anului 2026 venituri din drepturi de autor pentru opere literare în sumă de 20.000 lei.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Determinați obligațiile de plată ale contribuabilul pentru veniturile obținute din drepturi de autor pentru opere literare în următoarele două cazuri: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Cazul a) persoana fizică nu are calitatea de salariat sau de pensionar (contribuabilul optează pentru plata CASS și CAS la salariul minim);</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Cazul b) persoana fizică  are calitatea de salariat la o instituție publică.</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16</xdr:col>
      <xdr:colOff>68580</xdr:colOff>
      <xdr:row>19</xdr:row>
      <xdr:rowOff>121920</xdr:rowOff>
    </xdr:to>
    <xdr:sp macro="" textlink="">
      <xdr:nvSpPr>
        <xdr:cNvPr id="4" name="CasetăText 3">
          <a:extLst>
            <a:ext uri="{FF2B5EF4-FFF2-40B4-BE49-F238E27FC236}">
              <a16:creationId xmlns:a16="http://schemas.microsoft.com/office/drawing/2014/main" id="{60C173F9-B7B5-40FC-8FA0-99F3ECF04996}"/>
            </a:ext>
          </a:extLst>
        </xdr:cNvPr>
        <xdr:cNvSpPr txBox="1"/>
      </xdr:nvSpPr>
      <xdr:spPr>
        <a:xfrm>
          <a:off x="0" y="182880"/>
          <a:ext cx="9822180" cy="341376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tabLst>
              <a:tab pos="180340" algn="l"/>
            </a:tabLs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7.</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Maria este salariată al ONG fără activitate economică, cu contract individual de muncă (8 ore/zi) și funcția de bază la acesată entitate.Aceasta obţine următoarele venituri aferente lunii aprilie 2026 (nr zile lucratoare 20):</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marL="742950" lvl="1" indent="-285750">
            <a:lnSpc>
              <a:spcPct val="107000"/>
            </a:lnSpc>
            <a:spcAft>
              <a:spcPts val="800"/>
            </a:spcAft>
            <a:buFont typeface="Arial" panose="020B0604020202020204" pitchFamily="34" charset="0"/>
            <a:buChar char="•"/>
            <a:tabLst>
              <a:tab pos="914400" algn="l"/>
            </a:tabLst>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salariul de încadrare 5.000 lei </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marL="742950" lvl="1" indent="-285750">
            <a:lnSpc>
              <a:spcPct val="107000"/>
            </a:lnSpc>
            <a:spcAft>
              <a:spcPts val="800"/>
            </a:spcAft>
            <a:buFont typeface="Arial" panose="020B0604020202020204" pitchFamily="34" charset="0"/>
            <a:buChar char="•"/>
            <a:tabLst>
              <a:tab pos="914400" algn="l"/>
            </a:tabLst>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sporul de vechime 10% din salariul de încadrare;</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marL="742950" lvl="1" indent="-285750">
            <a:lnSpc>
              <a:spcPct val="107000"/>
            </a:lnSpc>
            <a:spcAft>
              <a:spcPts val="800"/>
            </a:spcAft>
            <a:buFont typeface="Arial" panose="020B0604020202020204" pitchFamily="34" charset="0"/>
            <a:buChar char="•"/>
            <a:tabLst>
              <a:tab pos="914400" algn="l"/>
            </a:tabLst>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primeşte cadouri pentru sărbătorile de Pasti 700 lei pentru cei 2 copii ai săi;</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marL="742950" lvl="1" indent="-285750">
            <a:lnSpc>
              <a:spcPct val="107000"/>
            </a:lnSpc>
            <a:spcAft>
              <a:spcPts val="800"/>
            </a:spcAft>
            <a:buFont typeface="Arial" panose="020B0604020202020204" pitchFamily="34" charset="0"/>
            <a:buChar char="•"/>
            <a:tabLst>
              <a:tab pos="914400" algn="l"/>
            </a:tabLst>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salariata foloseşte autoturismul societăţii in weekend în scop personal, Autoturismul are valoare btrută de 40.000 lei și a fost utilizat 200 km în interes personal și 140 km pentru deplasarea casă-serviciu-casă.</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marL="742950" lvl="1" indent="-285750">
            <a:lnSpc>
              <a:spcPct val="107000"/>
            </a:lnSpc>
            <a:spcAft>
              <a:spcPts val="800"/>
            </a:spcAft>
            <a:buFont typeface="Arial" panose="020B0604020202020204" pitchFamily="34" charset="0"/>
            <a:buChar char="•"/>
            <a:tabLst>
              <a:tab pos="914400" algn="l"/>
            </a:tabLst>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salariata primeşte 20 de tichete de masă în valoare de 30 lei fiecare;</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marL="742950" lvl="1" indent="-285750">
            <a:lnSpc>
              <a:spcPct val="107000"/>
            </a:lnSpc>
            <a:spcAft>
              <a:spcPts val="800"/>
            </a:spcAft>
            <a:buFont typeface="Arial" panose="020B0604020202020204" pitchFamily="34" charset="0"/>
            <a:buChar char="•"/>
            <a:tabLst>
              <a:tab pos="914400" algn="l"/>
            </a:tabLst>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pe data de 30 aprilie Maria primeşte un stimulent sub forma unui produs cosmetic fabricat în cadrul companiei evaluată la un preţ unitar de vânzare de 100 lei, (TVA 21%);</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Salariata este membru de sindicat şi plăteşte o cotizaţie sindicală în sumă de 50 lei lunar. Aceasta are în întreţinere 2 copii minori înscriși într-o unitate de învățământ. </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Calculați suma netă încastă de salariată.</a:t>
          </a:r>
          <a:endParaRPr lang="ro-RO" sz="12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ro-RO" sz="1200" b="0" i="1" u="none" strike="noStrike" kern="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endParaRPr kumimoji="0" lang="ro-RO"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43</xdr:row>
      <xdr:rowOff>0</xdr:rowOff>
    </xdr:from>
    <xdr:to>
      <xdr:col>10</xdr:col>
      <xdr:colOff>373380</xdr:colOff>
      <xdr:row>51</xdr:row>
      <xdr:rowOff>60960</xdr:rowOff>
    </xdr:to>
    <xdr:sp macro="" textlink="">
      <xdr:nvSpPr>
        <xdr:cNvPr id="6" name="CasetăText 5">
          <a:extLst>
            <a:ext uri="{FF2B5EF4-FFF2-40B4-BE49-F238E27FC236}">
              <a16:creationId xmlns:a16="http://schemas.microsoft.com/office/drawing/2014/main" id="{46F27EB0-AA3E-448B-AB78-40929219B1D1}"/>
            </a:ext>
          </a:extLst>
        </xdr:cNvPr>
        <xdr:cNvSpPr txBox="1"/>
      </xdr:nvSpPr>
      <xdr:spPr>
        <a:xfrm>
          <a:off x="609600" y="7863840"/>
          <a:ext cx="8244840" cy="15240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tabLst>
              <a:tab pos="180340" algn="l"/>
            </a:tabLst>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8.</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O salariată este în concediu medical 5 zile lucrătoare  în luna a 7-a pentru o boală obișnuită (cod 01).</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Salariul de încadrare  pentru lunile 1-6  și numărul de zile lucrătoare se prezintă în tabelul de mai jos</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Determinați cuantumul indemnizației pentru un certificat de concediu medical pentru boală obișnuită (cod-01) acordat pentru 5 zile lucrătoare în luna a 7-a.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ro-RO" sz="1200" b="0" i="1" u="none" strike="noStrike" kern="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endParaRPr kumimoji="0" lang="ro-RO"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63</xdr:row>
      <xdr:rowOff>0</xdr:rowOff>
    </xdr:from>
    <xdr:to>
      <xdr:col>17</xdr:col>
      <xdr:colOff>68580</xdr:colOff>
      <xdr:row>71</xdr:row>
      <xdr:rowOff>0</xdr:rowOff>
    </xdr:to>
    <xdr:sp macro="" textlink="">
      <xdr:nvSpPr>
        <xdr:cNvPr id="7" name="CasetăText 6">
          <a:extLst>
            <a:ext uri="{FF2B5EF4-FFF2-40B4-BE49-F238E27FC236}">
              <a16:creationId xmlns:a16="http://schemas.microsoft.com/office/drawing/2014/main" id="{12FF44BC-70EE-4939-A6F8-2BE51D03C20C}"/>
            </a:ext>
          </a:extLst>
        </xdr:cNvPr>
        <xdr:cNvSpPr txBox="1"/>
      </xdr:nvSpPr>
      <xdr:spPr>
        <a:xfrm>
          <a:off x="609600" y="11521440"/>
          <a:ext cx="12207240" cy="146304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50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9.</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În luna martie 2026, o societatea din Oradea, trimite în delegație un angajat în interes de serviciu. Aceasta îi acordă un avans de trezorerie în numerar angajatului în sumă de 1.600 lei în vederea deplasării la București conform ordinului de deplasare (delegație), dispoziției de plată către casierie și registrului de casă. În luna martie, salariul de bază al angajatului  este de 6.000 lei. </a:t>
          </a:r>
          <a:r>
            <a:rPr lang="en-GB"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Salariatului  i se acordă o indemnizația de delegare în sumă de 240 lei (80 lei/zi x 3 zile).Luna martie are 22 de zile lucrătoare.</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50000"/>
            </a:lnSpc>
            <a:spcAft>
              <a:spcPts val="800"/>
            </a:spcAft>
            <a:buNone/>
          </a:pPr>
          <a:r>
            <a:rPr lang="en-GB"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Prezentați </a:t>
          </a: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tratamentul fiscal privind diurna acordată angajatului pe perioada deplasării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ro-RO" sz="1200" b="0" i="1" u="none" strike="noStrike" kern="0" cap="none" spc="0" normalizeH="0" baseline="0" noProof="0">
              <a:ln>
                <a:noFill/>
              </a:ln>
              <a:solidFill>
                <a:srgbClr val="000000"/>
              </a:solidFill>
              <a:effectLst/>
              <a:uLnTx/>
              <a:uFillTx/>
              <a:latin typeface="Times New Roman" panose="02020603050405020304" pitchFamily="18" charset="0"/>
              <a:ea typeface="Calibri" panose="020F0502020204030204" pitchFamily="34" charset="0"/>
              <a:cs typeface="Times New Roman" panose="02020603050405020304" pitchFamily="18" charset="0"/>
            </a:rPr>
            <a:t> </a:t>
          </a:r>
          <a:endParaRPr kumimoji="0" lang="ro-RO" sz="11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472440</xdr:colOff>
      <xdr:row>8</xdr:row>
      <xdr:rowOff>68580</xdr:rowOff>
    </xdr:to>
    <xdr:sp macro="" textlink="">
      <xdr:nvSpPr>
        <xdr:cNvPr id="2" name="CasetăText 1">
          <a:extLst>
            <a:ext uri="{FF2B5EF4-FFF2-40B4-BE49-F238E27FC236}">
              <a16:creationId xmlns:a16="http://schemas.microsoft.com/office/drawing/2014/main" id="{165EECAB-0124-4D34-9B54-D89AFF4AEC97}"/>
            </a:ext>
          </a:extLst>
        </xdr:cNvPr>
        <xdr:cNvSpPr txBox="1"/>
      </xdr:nvSpPr>
      <xdr:spPr>
        <a:xfrm>
          <a:off x="609600" y="182880"/>
          <a:ext cx="7178040" cy="134874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10.</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O persoană fizică deține un teren agricol pe care îl dă în arendă la o societate agricolă , pentru care a primit în anul 2026 produse agricole evaluate la valoarea brută de 48.000 lei.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a:effectLst/>
              <a:latin typeface="Times New Roman" panose="02020603050405020304" pitchFamily="18" charset="0"/>
              <a:ea typeface="Calibri" panose="020F0502020204030204" pitchFamily="34" charset="0"/>
              <a:cs typeface="Times New Roman" panose="02020603050405020304" pitchFamily="18" charset="0"/>
            </a:rPr>
            <a:t>Determinați obligațiile fiscale sub forma impozitului pe venit și CASS.</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0</xdr:colOff>
      <xdr:row>21</xdr:row>
      <xdr:rowOff>0</xdr:rowOff>
    </xdr:from>
    <xdr:to>
      <xdr:col>12</xdr:col>
      <xdr:colOff>472440</xdr:colOff>
      <xdr:row>35</xdr:row>
      <xdr:rowOff>175260</xdr:rowOff>
    </xdr:to>
    <xdr:sp macro="" textlink="">
      <xdr:nvSpPr>
        <xdr:cNvPr id="3" name="CasetăText 2">
          <a:extLst>
            <a:ext uri="{FF2B5EF4-FFF2-40B4-BE49-F238E27FC236}">
              <a16:creationId xmlns:a16="http://schemas.microsoft.com/office/drawing/2014/main" id="{A6E4DD44-CD57-429D-9913-116F59D52641}"/>
            </a:ext>
          </a:extLst>
        </xdr:cNvPr>
        <xdr:cNvSpPr txBox="1"/>
      </xdr:nvSpPr>
      <xdr:spPr>
        <a:xfrm>
          <a:off x="609600" y="3840480"/>
          <a:ext cx="7178040" cy="273558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11.</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a:effectLst/>
              <a:latin typeface="Times New Roman" panose="02020603050405020304" pitchFamily="18" charset="0"/>
              <a:ea typeface="Calibri" panose="020F0502020204030204" pitchFamily="34" charset="0"/>
              <a:cs typeface="Times New Roman" panose="02020603050405020304" pitchFamily="18" charset="0"/>
            </a:rPr>
            <a:t>O persoană fizică deține un spațiu comercial pe care îl închiriază entității X pe o perioadă de un an începând cu 01.01.2026. Contractul de închiriere se încheie la 30.12.2025, iar chiria este de 3.000 lei/lună și se achită în ultima zi a fiecărei luni. Conform contractului încheiat între părți, chiriașul îi plătește proprietarului contravaloarea chiriei diminuată cu impozitul calculat. Contribuabilul persoană fizică nu este exceptat de la plata contribuțiilor sociale.</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a:effectLst/>
              <a:latin typeface="Times New Roman" panose="02020603050405020304" pitchFamily="18" charset="0"/>
              <a:ea typeface="Calibri" panose="020F0502020204030204" pitchFamily="34" charset="0"/>
              <a:cs typeface="Times New Roman" panose="02020603050405020304" pitchFamily="18" charset="0"/>
            </a:rPr>
            <a:t> </a:t>
          </a:r>
          <a:r>
            <a:rPr lang="en-GB" sz="1200" i="1">
              <a:effectLst/>
              <a:latin typeface="Times New Roman" panose="02020603050405020304" pitchFamily="18" charset="0"/>
              <a:ea typeface="Calibri" panose="020F0502020204030204" pitchFamily="34" charset="0"/>
              <a:cs typeface="Times New Roman" panose="02020603050405020304" pitchFamily="18" charset="0"/>
            </a:rPr>
            <a:t>Determinați: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i="1">
              <a:effectLst/>
              <a:latin typeface="Times New Roman" panose="02020603050405020304" pitchFamily="18" charset="0"/>
              <a:ea typeface="Calibri" panose="020F0502020204030204" pitchFamily="34" charset="0"/>
              <a:cs typeface="Times New Roman" panose="02020603050405020304" pitchFamily="18" charset="0"/>
            </a:rPr>
            <a:t>a) obligațiile fiscale ale chiriașului privind închirierea imobilului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i="1">
              <a:effectLst/>
              <a:latin typeface="Times New Roman" panose="02020603050405020304" pitchFamily="18" charset="0"/>
              <a:ea typeface="Calibri" panose="020F0502020204030204" pitchFamily="34" charset="0"/>
              <a:cs typeface="Times New Roman" panose="02020603050405020304" pitchFamily="18" charset="0"/>
            </a:rPr>
            <a:t>b) obligațiile fiscale ale proprietarului în materie de CASS  pentru anul 2026, stabilite prin declarația unică.</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472440</xdr:colOff>
      <xdr:row>5</xdr:row>
      <xdr:rowOff>152400</xdr:rowOff>
    </xdr:to>
    <xdr:sp macro="" textlink="">
      <xdr:nvSpPr>
        <xdr:cNvPr id="2" name="CasetăText 1">
          <a:extLst>
            <a:ext uri="{FF2B5EF4-FFF2-40B4-BE49-F238E27FC236}">
              <a16:creationId xmlns:a16="http://schemas.microsoft.com/office/drawing/2014/main" id="{E31B0E3D-CD2D-4FE0-9545-118731DB4E87}"/>
            </a:ext>
          </a:extLst>
        </xdr:cNvPr>
        <xdr:cNvSpPr txBox="1"/>
      </xdr:nvSpPr>
      <xdr:spPr>
        <a:xfrm>
          <a:off x="609600" y="182880"/>
          <a:ext cx="7178040" cy="8839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12. </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 companie plăteşte în 2026 dividende către un acţionar persoană fizică în valoare de 100.000 lei.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Determinați impozitul pe dividende reținut la sursă.Este obligat beneficiarul dividendelor să achite contribuții sociale?</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2</xdr:col>
      <xdr:colOff>0</xdr:colOff>
      <xdr:row>15</xdr:row>
      <xdr:rowOff>0</xdr:rowOff>
    </xdr:from>
    <xdr:to>
      <xdr:col>13</xdr:col>
      <xdr:colOff>472440</xdr:colOff>
      <xdr:row>21</xdr:row>
      <xdr:rowOff>60960</xdr:rowOff>
    </xdr:to>
    <xdr:sp macro="" textlink="">
      <xdr:nvSpPr>
        <xdr:cNvPr id="3" name="CasetăText 2">
          <a:extLst>
            <a:ext uri="{FF2B5EF4-FFF2-40B4-BE49-F238E27FC236}">
              <a16:creationId xmlns:a16="http://schemas.microsoft.com/office/drawing/2014/main" id="{54BD7C10-50AB-4D12-A0D3-48BAF90735CF}"/>
            </a:ext>
          </a:extLst>
        </xdr:cNvPr>
        <xdr:cNvSpPr txBox="1"/>
      </xdr:nvSpPr>
      <xdr:spPr>
        <a:xfrm>
          <a:off x="1219200" y="2743200"/>
          <a:ext cx="7178040" cy="115824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13. </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 persoană fizică obține câștiguri în anul 2026 </a:t>
          </a:r>
          <a:r>
            <a:rPr lang="ro-RO"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din transferul titlurilor de valoare care au fost dobândite și înstrăinate într-o </a:t>
          </a:r>
          <a:r>
            <a:rPr lang="ro-RO" sz="1200" b="1">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perioadă mai mică de 365 de zile</a:t>
          </a:r>
          <a:r>
            <a:rPr lang="ro-RO"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de la data dobândirii</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r>
            <a:rPr lang="ro-RO"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Tranzacțiile sunt efectuate prin entități rezidenți fiscali români.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Cum se determină impozitul în acest caz?</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472440</xdr:colOff>
      <xdr:row>7</xdr:row>
      <xdr:rowOff>60960</xdr:rowOff>
    </xdr:to>
    <xdr:sp macro="" textlink="">
      <xdr:nvSpPr>
        <xdr:cNvPr id="2" name="CasetăText 1">
          <a:extLst>
            <a:ext uri="{FF2B5EF4-FFF2-40B4-BE49-F238E27FC236}">
              <a16:creationId xmlns:a16="http://schemas.microsoft.com/office/drawing/2014/main" id="{8BA34049-C144-4691-B50D-7E99F557FD08}"/>
            </a:ext>
          </a:extLst>
        </xdr:cNvPr>
        <xdr:cNvSpPr txBox="1"/>
      </xdr:nvSpPr>
      <xdr:spPr>
        <a:xfrm>
          <a:off x="609600" y="182880"/>
          <a:ext cx="7178040" cy="115824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14. </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Un pensionar obține în luna martie 2026 un venit brut din pensie în sumă de 5.350 lei.</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a:effectLst/>
              <a:latin typeface="Times New Roman" panose="02020603050405020304" pitchFamily="18" charset="0"/>
              <a:ea typeface="Calibri" panose="020F0502020204030204" pitchFamily="34" charset="0"/>
              <a:cs typeface="Times New Roman" panose="02020603050405020304" pitchFamily="18" charset="0"/>
            </a:rPr>
            <a:t>Determinați pensia netă încasată de pensionar</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0</xdr:colOff>
      <xdr:row>17</xdr:row>
      <xdr:rowOff>0</xdr:rowOff>
    </xdr:from>
    <xdr:to>
      <xdr:col>12</xdr:col>
      <xdr:colOff>472440</xdr:colOff>
      <xdr:row>23</xdr:row>
      <xdr:rowOff>60960</xdr:rowOff>
    </xdr:to>
    <xdr:sp macro="" textlink="">
      <xdr:nvSpPr>
        <xdr:cNvPr id="3" name="CasetăText 2">
          <a:extLst>
            <a:ext uri="{FF2B5EF4-FFF2-40B4-BE49-F238E27FC236}">
              <a16:creationId xmlns:a16="http://schemas.microsoft.com/office/drawing/2014/main" id="{60EAAAF9-FBCE-490E-87FE-E4A05BB6E076}"/>
            </a:ext>
          </a:extLst>
        </xdr:cNvPr>
        <xdr:cNvSpPr txBox="1"/>
      </xdr:nvSpPr>
      <xdr:spPr>
        <a:xfrm>
          <a:off x="609600" y="3108960"/>
          <a:ext cx="7178040" cy="115824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07000"/>
            </a:lnSpc>
            <a:spcAft>
              <a:spcPts val="800"/>
            </a:spcAft>
            <a:buNone/>
          </a:pPr>
          <a:r>
            <a:rPr lang="ro-RO" sz="12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15. </a:t>
          </a:r>
          <a:r>
            <a:rPr lang="ro-RO" sz="12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 persoană fizică din Dâmboviţa deţine 20 vaci. Conform limitelor prevăzute în Codul fiscal, primele 2 vaci sunt neimpozabile. Pentru restul animalelor în anul 2026 se aplică norma de venit de 150 lei/cap de animal.</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i="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Determinați impozitul pe venit.</a:t>
          </a:r>
          <a:endParaRPr lang="ro-RO"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ro-RO"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472440</xdr:colOff>
      <xdr:row>10</xdr:row>
      <xdr:rowOff>114300</xdr:rowOff>
    </xdr:to>
    <xdr:sp macro="" textlink="">
      <xdr:nvSpPr>
        <xdr:cNvPr id="2" name="CasetăText 1">
          <a:extLst>
            <a:ext uri="{FF2B5EF4-FFF2-40B4-BE49-F238E27FC236}">
              <a16:creationId xmlns:a16="http://schemas.microsoft.com/office/drawing/2014/main" id="{1D930E1C-CF11-4F16-BA09-4AA6D5E5E53F}"/>
            </a:ext>
          </a:extLst>
        </xdr:cNvPr>
        <xdr:cNvSpPr txBox="1"/>
      </xdr:nvSpPr>
      <xdr:spPr>
        <a:xfrm>
          <a:off x="609600" y="182880"/>
          <a:ext cx="7178040" cy="17602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pPr>
          <a:r>
            <a:rPr lang="ro-RO" sz="1100" b="1">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Exemplul 16. </a:t>
          </a:r>
          <a:r>
            <a:rPr lang="ro-RO"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O persoană deţine în proprietate mai multe proprietăţi imobiliare. În anul 2026 vinde două dintre acestea, şi anume:</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marL="742950" lvl="1" indent="-285750">
            <a:lnSpc>
              <a:spcPct val="107000"/>
            </a:lnSpc>
            <a:spcAft>
              <a:spcPts val="800"/>
            </a:spcAft>
            <a:buFont typeface="Arial" panose="020B0604020202020204" pitchFamily="34" charset="0"/>
            <a:buChar char="•"/>
            <a:tabLst>
              <a:tab pos="180340" algn="l"/>
            </a:tabLst>
          </a:pPr>
          <a:r>
            <a:rPr lang="ro-RO"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un apartament dobândit prin moştenire în anul 2025, pentru care încasează suma de 50.000 euro,cursul de schimb la data încheierii tranzacţiei ffind de  4,9 lei/EUR</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marL="742950" lvl="1" indent="-285750">
            <a:lnSpc>
              <a:spcPct val="107000"/>
            </a:lnSpc>
            <a:spcAft>
              <a:spcPts val="800"/>
            </a:spcAft>
            <a:buFont typeface="Arial" panose="020B0604020202020204" pitchFamily="34" charset="0"/>
            <a:buChar char="•"/>
            <a:tabLst>
              <a:tab pos="180340" algn="l"/>
            </a:tabLst>
          </a:pPr>
          <a:r>
            <a:rPr lang="ro-RO"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un teren în suprafaţă de 8.000 m</a:t>
          </a:r>
          <a:r>
            <a:rPr lang="ro-RO" sz="1100" baseline="300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r>
            <a:rPr lang="ro-RO"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dobândit prin cumpărare în anul 2019, preţul de vânzare este de 30 EUR/m</a:t>
          </a:r>
          <a:r>
            <a:rPr lang="ro-RO" sz="1100" baseline="300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a:t>
          </a:r>
          <a:r>
            <a:rPr lang="ro-RO" sz="110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cursul de schimb la data încheierii tranzacţiei fiind de 4,9 lei/EUR. </a:t>
          </a:r>
          <a:endParaRPr lang="ro-RO" sz="1050">
            <a:effectLst/>
            <a:latin typeface="Calibri" panose="020F0502020204030204" pitchFamily="34" charset="0"/>
            <a:ea typeface="Calibri" panose="020F0502020204030204" pitchFamily="34" charset="0"/>
            <a:cs typeface="Times New Roman" panose="02020603050405020304" pitchFamily="18" charset="0"/>
          </a:endParaRPr>
        </a:p>
        <a:p>
          <a:pPr>
            <a:buNone/>
          </a:pPr>
          <a:r>
            <a:rPr lang="ro-RO" sz="1100" i="1">
              <a:solidFill>
                <a:srgbClr val="000000"/>
              </a:solidFill>
              <a:effectLst/>
              <a:latin typeface="Times New Roman" panose="02020603050405020304" pitchFamily="18" charset="0"/>
              <a:ea typeface="Calibri" panose="020F0502020204030204" pitchFamily="34" charset="0"/>
            </a:rPr>
            <a:t>Determinați impozitul datorat de contribuabil.</a:t>
          </a:r>
          <a:endParaRPr kumimoji="0" lang="ro-RO" sz="105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472440</xdr:colOff>
      <xdr:row>9</xdr:row>
      <xdr:rowOff>45720</xdr:rowOff>
    </xdr:to>
    <xdr:sp macro="" textlink="">
      <xdr:nvSpPr>
        <xdr:cNvPr id="2" name="CasetăText 1">
          <a:extLst>
            <a:ext uri="{FF2B5EF4-FFF2-40B4-BE49-F238E27FC236}">
              <a16:creationId xmlns:a16="http://schemas.microsoft.com/office/drawing/2014/main" id="{155776EB-F191-49C4-AF79-3A2D6282D217}"/>
            </a:ext>
          </a:extLst>
        </xdr:cNvPr>
        <xdr:cNvSpPr txBox="1"/>
      </xdr:nvSpPr>
      <xdr:spPr>
        <a:xfrm>
          <a:off x="609600" y="182880"/>
          <a:ext cx="7178040" cy="150876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nSpc>
              <a:spcPct val="107000"/>
            </a:lnSpc>
            <a:spcAft>
              <a:spcPts val="800"/>
            </a:spcAft>
            <a:buNone/>
          </a:pPr>
          <a:r>
            <a:rPr lang="ro-RO" sz="1200" b="1"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Eemplul 17. </a:t>
          </a:r>
          <a:r>
            <a:rPr lang="ro-RO" sz="1200" baseline="0">
              <a:effectLst/>
              <a:latin typeface="Times New Roman" panose="02020603050405020304" pitchFamily="18" charset="0"/>
              <a:ea typeface="Calibri" panose="020F0502020204030204" pitchFamily="34" charset="0"/>
              <a:cs typeface="Times New Roman" panose="02020603050405020304" pitchFamily="18" charset="0"/>
            </a:rPr>
            <a:t>O persoană fizică este operator de colectare a datelor de la populaţie şi obţine în anul 2026 în baza unui contract cu o persoană juridică suma de 1.200 lei.</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i="1" baseline="0">
              <a:effectLst/>
              <a:latin typeface="Times New Roman" panose="02020603050405020304" pitchFamily="18" charset="0"/>
              <a:ea typeface="Calibri" panose="020F0502020204030204" pitchFamily="34" charset="0"/>
              <a:cs typeface="Times New Roman" panose="02020603050405020304" pitchFamily="18" charset="0"/>
            </a:rPr>
            <a:t>Determinați impozitul cu reținere la sursă și venitul net al persoanei fizice.</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1</xdr:row>
      <xdr:rowOff>0</xdr:rowOff>
    </xdr:from>
    <xdr:to>
      <xdr:col>6</xdr:col>
      <xdr:colOff>220980</xdr:colOff>
      <xdr:row>13</xdr:row>
      <xdr:rowOff>175260</xdr:rowOff>
    </xdr:to>
    <xdr:sp macro="" textlink="">
      <xdr:nvSpPr>
        <xdr:cNvPr id="2" name="CasetăText 1">
          <a:extLst>
            <a:ext uri="{FF2B5EF4-FFF2-40B4-BE49-F238E27FC236}">
              <a16:creationId xmlns:a16="http://schemas.microsoft.com/office/drawing/2014/main" id="{4CC479C6-2735-405E-A3C0-0694E8450CA6}"/>
            </a:ext>
          </a:extLst>
        </xdr:cNvPr>
        <xdr:cNvSpPr txBox="1"/>
      </xdr:nvSpPr>
      <xdr:spPr>
        <a:xfrm>
          <a:off x="76200" y="182880"/>
          <a:ext cx="8892540" cy="236982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07000"/>
            </a:lnSpc>
            <a:spcAft>
              <a:spcPts val="800"/>
            </a:spcAft>
            <a:buNone/>
          </a:pPr>
          <a:r>
            <a:rPr lang="ro-RO" sz="1200" b="1"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Aplicația 1 </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buNone/>
          </a:pPr>
          <a:r>
            <a:rPr lang="ro-RO" sz="1200" baseline="0">
              <a:effectLst/>
              <a:latin typeface="Times New Roman" panose="02020603050405020304" pitchFamily="18" charset="0"/>
              <a:ea typeface="Calibri" panose="020F0502020204030204" pitchFamily="34" charset="0"/>
              <a:cs typeface="Times New Roman" panose="02020603050405020304" pitchFamily="18" charset="0"/>
            </a:rPr>
            <a:t> </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Ioana, persoană fizică domiciliată în Brașov, vă cere să îi determinați impozitul pe venit și contribuțiile sociale datorate pe anul 2026. Pe parcursul anului 2026, Ioana a avut următoarele venituri:</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1.desfășoară în Brașov o activitate în mod individual în cadrul propriului cabinet de contabilitate membru CECCAR (cod CAEN 6920) cu începere de la data de 1.01.2026. </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Situația efectiv realizată de Ioana, titular al cabinetului de contabilitate, în anul 2026 se prezintă după cum urmează:</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0</xdr:colOff>
      <xdr:row>29</xdr:row>
      <xdr:rowOff>0</xdr:rowOff>
    </xdr:from>
    <xdr:to>
      <xdr:col>6</xdr:col>
      <xdr:colOff>114300</xdr:colOff>
      <xdr:row>82</xdr:row>
      <xdr:rowOff>99060</xdr:rowOff>
    </xdr:to>
    <xdr:sp macro="" textlink="">
      <xdr:nvSpPr>
        <xdr:cNvPr id="3" name="CasetăText 2">
          <a:extLst>
            <a:ext uri="{FF2B5EF4-FFF2-40B4-BE49-F238E27FC236}">
              <a16:creationId xmlns:a16="http://schemas.microsoft.com/office/drawing/2014/main" id="{848B8E68-EE38-4851-AEC5-50E66034B64F}"/>
            </a:ext>
          </a:extLst>
        </xdr:cNvPr>
        <xdr:cNvSpPr txBox="1"/>
      </xdr:nvSpPr>
      <xdr:spPr>
        <a:xfrm>
          <a:off x="609600" y="5486400"/>
          <a:ext cx="8252460" cy="9791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just">
            <a:lnSpc>
              <a:spcPct val="107000"/>
            </a:lnSpc>
            <a:spcAft>
              <a:spcPts val="800"/>
            </a:spcAft>
            <a:buNone/>
          </a:pPr>
          <a:r>
            <a:rPr lang="en-GB" sz="1200" spc="-1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2.deține un teren agricol pe care îl dă în arendă la o societate agricolă, pentru care a primit în anul 2026 produse agricole evaluate la valoarea de 35.000 lei.</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spc="-1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3.deține în calitate de proprietar un spațiu situat în Brașov  pe care îl închiriază începând cu data de 1.01.2026 unei personae juridice pe o durată de un an pentru o chirie de 3.000 lei/lună. Contractul de închiriere se încheie la data de 31.12.2025. Conform acestuia, chiriașul îi plătește proprietarului  în ultima zi a fiecărei luni contravaloarea chiriei diminuată cu impozitul reținut. </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spc="-1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4.încheie la data de 15.04.2026 în calitate de cedent un contract de cesiune neexclusivă  a drepturilor patrimoniale de autor, suma brută stabilită în contract fiind în sumă de 2.500 lei.</a:t>
          </a:r>
          <a:endParaRPr lang="ro-RO" sz="1200" spc="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5.</a:t>
          </a: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încasează  în luna mai 2026 suma de 50.000 euro din vânzarea unui apartament achiziționat în anul 2018.Cursul de schimb valutar la data vânzării 5 lei/euro.</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6.În luna martie 2026, Ioana este angajată cu contract individual de muncă cu 8 ore/zi la o societate.Se prezintă următoarea situație privind venitul salarial din luna martie:</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-salariu de încadrare: 6.000 lei;</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-beneficiază de cadouri în valoare brută de 400 lei cu ocazia zilei de 8 martie;</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-beneficiază de hrană zilnică preparată în cantina proprie a companiei suportată de angajator în valoare de 30 lei/zi;</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-beneficiază de suma de 1.000 lei pentru plasarea unuia dintre cei doi copii aflați în întreținere, în unități de educație timpurie;</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-beneficiază de chirie aferentă cazării suportată de angajator în sumă de 1.400 lei/lună</a:t>
          </a:r>
          <a:r>
            <a:rPr lang="ro-RO" sz="1200" baseline="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(angajatul nu deține o locuință în proprietate personală sau în folosință în localitatea în care își desfășoară activitatea, spațiul de cazare/de locuit se află într-un imobil închiriat în acest scop, de la o terță persoană, de către angajator)</a:t>
          </a: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t>
          </a:r>
          <a:r>
            <a:rPr lang="ro-RO" sz="1200" baseline="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beneficiază de serviciile medicale furnizate sub formă de abonament, suportat de angajator </a:t>
          </a: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în sumă lunară de 120 lei (nu </a:t>
          </a:r>
          <a:r>
            <a:rPr lang="ro-RO" sz="1200" baseline="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depășește echivalentul în lei al sumei de 400 euro anual)</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beneficiază de un voucher de vacanta de 1.500 lei si un tichet cultural de 240 lei.</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În luna martie au fost 22 de zile lucrătoare în total.</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Ioana este membră de sindicat și plătește o cotizație de 50lei/lună. Ea are în întreținere 2 copii minori  înscriși într-o unitate de învățământ, dintre care unul este în învățământul preșcolar. Ioana suportă un abonament la sala de sport  de 200  lei/lună.</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Ioana direcționează 3,5% din impozitul pe veniturile obținute din salariu în anul 2026 pentru susținerea unei entități nonprofit înscrisă în Registrul contribuabililor pentru care se acordă deduceri fiscale.</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ro-RO"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Impozitul total pe veniturile sale salariale în anul 2026 au fost în sumă de 6.000 lei.</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marR="71755" indent="-1270" algn="just">
            <a:lnSpc>
              <a:spcPct val="107000"/>
            </a:lnSpc>
            <a:spcAft>
              <a:spcPts val="800"/>
            </a:spcAft>
            <a:buNone/>
          </a:pPr>
          <a:r>
            <a:rPr lang="en-GB" sz="1200" b="1" baseline="0">
              <a:effectLst/>
              <a:latin typeface="Times New Roman" panose="02020603050405020304" pitchFamily="18" charset="0"/>
              <a:ea typeface="Calibri" panose="020F0502020204030204" pitchFamily="34" charset="0"/>
              <a:cs typeface="Times New Roman" panose="02020603050405020304" pitchFamily="18" charset="0"/>
            </a:rPr>
            <a:t>Cerințe:  </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marL="342900" marR="3810" lvl="0" indent="-342900" algn="just">
            <a:lnSpc>
              <a:spcPct val="107000"/>
            </a:lnSpc>
            <a:buClr>
              <a:srgbClr val="000000"/>
            </a:buClr>
            <a:buSzPts val="1100"/>
            <a:buFont typeface="+mj-lt"/>
            <a:buAutoNum type="alphaLcParenR"/>
            <a:tabLst>
              <a:tab pos="180340" algn="l"/>
              <a:tab pos="630555" algn="l"/>
            </a:tabLst>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Determinați venitul net realizat de Ioana, precum şi valoarea impozitului pe venitul din activităţi independente derulate în anul 2026. Prezentați obligațiile declarative ale contribuabilului aferente acestor venituri.  Contribuabilul depune declarația unică până la data de 15 aprile 2026 și își achită obligațiile fiscale până la această dată. </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marL="342900" marR="71755" lvl="0" indent="-342900" algn="just">
            <a:lnSpc>
              <a:spcPct val="107000"/>
            </a:lnSpc>
            <a:buClr>
              <a:srgbClr val="000000"/>
            </a:buClr>
            <a:buSzPts val="1100"/>
            <a:buFont typeface="+mj-lt"/>
            <a:buAutoNum type="alphaLcParenR"/>
            <a:tabLst>
              <a:tab pos="180340" algn="l"/>
            </a:tabLst>
          </a:pPr>
          <a:r>
            <a:rPr lang="en-GB" sz="1200" baseline="0">
              <a:effectLst/>
              <a:latin typeface="Times New Roman" panose="02020603050405020304" pitchFamily="18" charset="0"/>
              <a:ea typeface="Calibri" panose="020F0502020204030204" pitchFamily="34" charset="0"/>
              <a:cs typeface="Times New Roman" panose="02020603050405020304" pitchFamily="18" charset="0"/>
            </a:rPr>
            <a:t>Determinați impozitul datorat pentru veniturile obținute din  arendă, închirierea spațiului, drepturi de autor și din vânzatea clădirii. Precizați modalitatea prin care aceste impozite se declară și plătesc către bugetul de stat. Prezentați obligațiile declarative ale contribuabilului aferente acestor venituri.</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marL="342900" marR="3810" lvl="0" indent="-342900" algn="just">
            <a:lnSpc>
              <a:spcPct val="107000"/>
            </a:lnSpc>
            <a:buClr>
              <a:srgbClr val="000000"/>
            </a:buClr>
            <a:buSzPts val="1100"/>
            <a:buFont typeface="+mj-lt"/>
            <a:buAutoNum type="alphaLcParenR"/>
            <a:tabLst>
              <a:tab pos="180340" algn="l"/>
              <a:tab pos="630555" algn="l"/>
            </a:tabLst>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Analizați dacă Ioana datorează contribuții sociale obligatorii în anul 2026 pentru veniturile, altele decât cele salariale, şi, dacă da, determinaţi suma lor. Salariul minim brut aferent anului 2026 este de 4.050 lei/lună. Ioana a optat să completeze salariul minim ca bază aleasă pentru contribuția de asigurări sociale, în cazul în care aceasta este datorată.</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marL="342900" marR="3810" lvl="0" indent="-342900" algn="just">
            <a:lnSpc>
              <a:spcPct val="107000"/>
            </a:lnSpc>
            <a:buClr>
              <a:srgbClr val="000000"/>
            </a:buClr>
            <a:buSzPts val="1100"/>
            <a:buFont typeface="+mj-lt"/>
            <a:buAutoNum type="alphaLcParenR"/>
            <a:tabLst>
              <a:tab pos="180340" algn="l"/>
              <a:tab pos="630555" algn="l"/>
            </a:tabLst>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Determinați impozitul pe venit și contribuțiile sociale obligatorii aferente salariului obținut în luna martie 2026. </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Clr>
              <a:srgbClr val="000000"/>
            </a:buClr>
            <a:buSzPts val="1100"/>
            <a:buFont typeface="+mj-lt"/>
            <a:buAutoNum type="alphaLcParenR"/>
          </a:pPr>
          <a:r>
            <a:rPr lang="en-GB" sz="1200"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Stabiliți suma direcționată de către contribuabil pentru susținerea unei entități nonprofit înscrisă în Registrul contribuabililor pentru care se acordă deduceri fiscale, precum și formularul depus.</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en-GB" sz="1200" b="1" baseline="0">
              <a:solidFill>
                <a:srgbClr val="000000"/>
              </a:solidFill>
              <a:effectLst/>
              <a:latin typeface="Times New Roman" panose="02020603050405020304" pitchFamily="18" charset="0"/>
              <a:ea typeface="Calibri" panose="020F0502020204030204" pitchFamily="34" charset="0"/>
              <a:cs typeface="Times New Roman" panose="02020603050405020304" pitchFamily="18" charset="0"/>
            </a:rPr>
            <a:t> </a:t>
          </a:r>
          <a:endParaRPr lang="ro-RO" sz="1200" baseline="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4:E125"/>
  <sheetViews>
    <sheetView topLeftCell="A106" workbookViewId="0">
      <selection activeCell="G122" sqref="G122"/>
    </sheetView>
  </sheetViews>
  <sheetFormatPr defaultRowHeight="14.4" x14ac:dyDescent="0.3"/>
  <cols>
    <col min="2" max="2" width="56.6640625" customWidth="1"/>
  </cols>
  <sheetData>
    <row r="14" spans="2:3" x14ac:dyDescent="0.3">
      <c r="B14" t="s">
        <v>59</v>
      </c>
      <c r="C14">
        <v>30000</v>
      </c>
    </row>
    <row r="15" spans="2:3" x14ac:dyDescent="0.3">
      <c r="B15" t="s">
        <v>60</v>
      </c>
      <c r="C15" s="1">
        <v>10000</v>
      </c>
    </row>
    <row r="16" spans="2:3" x14ac:dyDescent="0.3">
      <c r="B16" t="s">
        <v>61</v>
      </c>
      <c r="C16">
        <v>1200</v>
      </c>
    </row>
    <row r="17" spans="2:4" x14ac:dyDescent="0.3">
      <c r="B17" t="s">
        <v>62</v>
      </c>
      <c r="C17">
        <v>1000</v>
      </c>
    </row>
    <row r="19" spans="2:4" x14ac:dyDescent="0.3">
      <c r="B19" t="s">
        <v>63</v>
      </c>
      <c r="C19" s="1">
        <f>C14-(C15+C17)</f>
        <v>19000</v>
      </c>
    </row>
    <row r="20" spans="2:4" x14ac:dyDescent="0.3">
      <c r="B20" t="s">
        <v>64</v>
      </c>
      <c r="C20">
        <f>C19*10%</f>
        <v>1900</v>
      </c>
      <c r="D20">
        <f>6*4050</f>
        <v>24300</v>
      </c>
    </row>
    <row r="21" spans="2:4" x14ac:dyDescent="0.3">
      <c r="B21" t="s">
        <v>65</v>
      </c>
      <c r="C21">
        <v>0</v>
      </c>
      <c r="D21">
        <f>12*4050</f>
        <v>48600</v>
      </c>
    </row>
    <row r="22" spans="2:4" x14ac:dyDescent="0.3">
      <c r="B22" t="s">
        <v>40</v>
      </c>
      <c r="C22" s="1">
        <f>C19-C20-C21</f>
        <v>17100</v>
      </c>
    </row>
    <row r="23" spans="2:4" x14ac:dyDescent="0.3">
      <c r="B23" t="s">
        <v>66</v>
      </c>
      <c r="C23">
        <f>C22*10%</f>
        <v>1710</v>
      </c>
    </row>
    <row r="33" spans="2:4" x14ac:dyDescent="0.3">
      <c r="B33" t="s">
        <v>67</v>
      </c>
      <c r="C33">
        <v>30000</v>
      </c>
    </row>
    <row r="34" spans="2:4" x14ac:dyDescent="0.3">
      <c r="B34" t="s">
        <v>68</v>
      </c>
      <c r="C34">
        <v>10000</v>
      </c>
    </row>
    <row r="35" spans="2:4" x14ac:dyDescent="0.3">
      <c r="B35" t="s">
        <v>69</v>
      </c>
      <c r="C35">
        <v>500</v>
      </c>
    </row>
    <row r="36" spans="2:4" x14ac:dyDescent="0.3">
      <c r="B36" t="s">
        <v>70</v>
      </c>
      <c r="C36">
        <f>C33-C34</f>
        <v>20000</v>
      </c>
    </row>
    <row r="37" spans="2:4" x14ac:dyDescent="0.3">
      <c r="B37" t="s">
        <v>71</v>
      </c>
      <c r="C37">
        <f>C36*2%</f>
        <v>400</v>
      </c>
    </row>
    <row r="38" spans="2:4" x14ac:dyDescent="0.3">
      <c r="B38" t="s">
        <v>72</v>
      </c>
      <c r="C38">
        <f>C35-C37</f>
        <v>100</v>
      </c>
    </row>
    <row r="40" spans="2:4" x14ac:dyDescent="0.3">
      <c r="B40" t="s">
        <v>63</v>
      </c>
      <c r="C40">
        <f>C33-C34-C37</f>
        <v>19600</v>
      </c>
    </row>
    <row r="41" spans="2:4" x14ac:dyDescent="0.3">
      <c r="B41" t="s">
        <v>64</v>
      </c>
      <c r="C41">
        <f>C40*10%</f>
        <v>1960</v>
      </c>
      <c r="D41">
        <f>6*4050</f>
        <v>24300</v>
      </c>
    </row>
    <row r="42" spans="2:4" x14ac:dyDescent="0.3">
      <c r="B42" t="s">
        <v>40</v>
      </c>
      <c r="C42">
        <f>C40-C41</f>
        <v>17640</v>
      </c>
    </row>
    <row r="43" spans="2:4" x14ac:dyDescent="0.3">
      <c r="B43" t="s">
        <v>66</v>
      </c>
      <c r="C43">
        <f>C42*10%</f>
        <v>1764</v>
      </c>
    </row>
    <row r="56" spans="2:3" ht="15.6" x14ac:dyDescent="0.3">
      <c r="B56" s="7" t="s">
        <v>0</v>
      </c>
      <c r="C56" s="7" t="s">
        <v>1</v>
      </c>
    </row>
    <row r="57" spans="2:3" ht="15.6" x14ac:dyDescent="0.3">
      <c r="B57" s="7" t="s">
        <v>2</v>
      </c>
      <c r="C57" s="8">
        <v>180000</v>
      </c>
    </row>
    <row r="58" spans="2:3" ht="15.6" x14ac:dyDescent="0.3">
      <c r="B58" s="7" t="s">
        <v>3</v>
      </c>
      <c r="C58" s="7"/>
    </row>
    <row r="59" spans="2:3" ht="15.6" x14ac:dyDescent="0.3">
      <c r="B59" s="7" t="s">
        <v>4</v>
      </c>
      <c r="C59" s="8">
        <v>70000</v>
      </c>
    </row>
    <row r="60" spans="2:3" ht="15.6" x14ac:dyDescent="0.3">
      <c r="B60" s="7" t="s">
        <v>5</v>
      </c>
      <c r="C60" s="8">
        <v>12000</v>
      </c>
    </row>
    <row r="61" spans="2:3" ht="15.6" x14ac:dyDescent="0.3">
      <c r="B61" s="7" t="s">
        <v>6</v>
      </c>
      <c r="C61" s="8">
        <v>25000</v>
      </c>
    </row>
    <row r="62" spans="2:3" ht="15.6" x14ac:dyDescent="0.3">
      <c r="B62" s="7" t="s">
        <v>7</v>
      </c>
      <c r="C62" s="8">
        <v>10000</v>
      </c>
    </row>
    <row r="63" spans="2:3" ht="15.6" x14ac:dyDescent="0.3">
      <c r="B63" s="7" t="s">
        <v>8</v>
      </c>
      <c r="C63" s="8">
        <v>5000</v>
      </c>
    </row>
    <row r="64" spans="2:3" ht="15.6" x14ac:dyDescent="0.3">
      <c r="B64" s="7" t="s">
        <v>9</v>
      </c>
      <c r="C64" s="8">
        <v>2000</v>
      </c>
    </row>
    <row r="67" spans="2:5" ht="15.6" x14ac:dyDescent="0.3">
      <c r="B67" s="11" t="s">
        <v>73</v>
      </c>
      <c r="C67" s="1">
        <f>C57</f>
        <v>180000</v>
      </c>
    </row>
    <row r="68" spans="2:5" ht="15.6" x14ac:dyDescent="0.3">
      <c r="B68" s="11" t="s">
        <v>74</v>
      </c>
      <c r="C68" s="1">
        <f>SUM(C69:C72)</f>
        <v>117000</v>
      </c>
    </row>
    <row r="69" spans="2:5" x14ac:dyDescent="0.3">
      <c r="B69" t="str">
        <f t="shared" ref="B69:C72" si="0">B59</f>
        <v xml:space="preserve">     - cheltuieli cu materiale </v>
      </c>
      <c r="C69" s="1">
        <f t="shared" si="0"/>
        <v>70000</v>
      </c>
    </row>
    <row r="70" spans="2:5" x14ac:dyDescent="0.3">
      <c r="B70" t="str">
        <f t="shared" si="0"/>
        <v xml:space="preserve">     - cheltuieli cu chiria spațiului în care își desfășoară activitatea</v>
      </c>
      <c r="C70" s="1">
        <f t="shared" si="0"/>
        <v>12000</v>
      </c>
    </row>
    <row r="71" spans="2:5" x14ac:dyDescent="0.3">
      <c r="B71" t="str">
        <f t="shared" si="0"/>
        <v xml:space="preserve">     - cheltuieli cu servicii achiziţionate</v>
      </c>
      <c r="C71" s="1">
        <f t="shared" si="0"/>
        <v>25000</v>
      </c>
    </row>
    <row r="72" spans="2:5" x14ac:dyDescent="0.3">
      <c r="B72" t="str">
        <f t="shared" si="0"/>
        <v xml:space="preserve">     - cheltuieli cu energia electrică, telefon, apă, gaze</v>
      </c>
      <c r="C72" s="1">
        <f t="shared" si="0"/>
        <v>10000</v>
      </c>
    </row>
    <row r="74" spans="2:5" x14ac:dyDescent="0.3">
      <c r="B74" t="s">
        <v>63</v>
      </c>
      <c r="C74" s="1">
        <f>C67-C68</f>
        <v>63000</v>
      </c>
      <c r="E74">
        <f>12*4050</f>
        <v>48600</v>
      </c>
    </row>
    <row r="75" spans="2:5" x14ac:dyDescent="0.3">
      <c r="B75" t="s">
        <v>75</v>
      </c>
      <c r="C75">
        <f>25%*E74</f>
        <v>12150</v>
      </c>
      <c r="E75">
        <f>24*4050</f>
        <v>97200</v>
      </c>
    </row>
    <row r="76" spans="2:5" x14ac:dyDescent="0.3">
      <c r="B76" t="s">
        <v>64</v>
      </c>
      <c r="C76">
        <f>C74*10%</f>
        <v>6300</v>
      </c>
    </row>
    <row r="77" spans="2:5" x14ac:dyDescent="0.3">
      <c r="B77" t="s">
        <v>40</v>
      </c>
      <c r="C77" s="1">
        <f>C74-C75-C76</f>
        <v>44550</v>
      </c>
    </row>
    <row r="78" spans="2:5" x14ac:dyDescent="0.3">
      <c r="B78" t="s">
        <v>66</v>
      </c>
      <c r="C78">
        <f>C77*10%</f>
        <v>4455</v>
      </c>
    </row>
    <row r="79" spans="2:5" x14ac:dyDescent="0.3">
      <c r="B79" t="s">
        <v>76</v>
      </c>
      <c r="C79">
        <f>C78*3%</f>
        <v>133.65</v>
      </c>
    </row>
    <row r="80" spans="2:5" x14ac:dyDescent="0.3">
      <c r="B80" t="s">
        <v>77</v>
      </c>
      <c r="C80">
        <f>C78-C79</f>
        <v>4321.3500000000004</v>
      </c>
    </row>
    <row r="99" spans="2:5" x14ac:dyDescent="0.3">
      <c r="B99" t="s">
        <v>78</v>
      </c>
      <c r="C99">
        <v>30000</v>
      </c>
    </row>
    <row r="100" spans="2:5" x14ac:dyDescent="0.3">
      <c r="B100" t="s">
        <v>80</v>
      </c>
      <c r="C100">
        <f>C99-C99*(365-30)/365</f>
        <v>2465.7534246575342</v>
      </c>
    </row>
    <row r="101" spans="2:5" x14ac:dyDescent="0.3">
      <c r="B101" t="s">
        <v>79</v>
      </c>
      <c r="C101" s="12">
        <f>C99-C100</f>
        <v>27534.246575342466</v>
      </c>
      <c r="E101">
        <f>12*4050</f>
        <v>48600</v>
      </c>
    </row>
    <row r="103" spans="2:5" x14ac:dyDescent="0.3">
      <c r="B103" t="s">
        <v>65</v>
      </c>
      <c r="C103">
        <f>12*4050*25%</f>
        <v>12150</v>
      </c>
      <c r="E103">
        <f>E101</f>
        <v>48600</v>
      </c>
    </row>
    <row r="104" spans="2:5" x14ac:dyDescent="0.3">
      <c r="B104" t="s">
        <v>64</v>
      </c>
      <c r="C104" s="12">
        <f>C101*10%</f>
        <v>2753.4246575342468</v>
      </c>
    </row>
    <row r="120" spans="2:3" x14ac:dyDescent="0.3">
      <c r="B120" t="s">
        <v>81</v>
      </c>
      <c r="C120">
        <v>30000</v>
      </c>
    </row>
    <row r="121" spans="2:3" x14ac:dyDescent="0.3">
      <c r="B121" t="s">
        <v>82</v>
      </c>
      <c r="C121">
        <v>20000</v>
      </c>
    </row>
    <row r="123" spans="2:3" x14ac:dyDescent="0.3">
      <c r="B123" t="s">
        <v>83</v>
      </c>
      <c r="C123" s="12">
        <f>C120*100/365</f>
        <v>8219.17808219178</v>
      </c>
    </row>
    <row r="124" spans="2:3" x14ac:dyDescent="0.3">
      <c r="B124" t="s">
        <v>84</v>
      </c>
      <c r="C124" s="12">
        <f>C123+C121</f>
        <v>28219.178082191778</v>
      </c>
    </row>
    <row r="125" spans="2:3" x14ac:dyDescent="0.3">
      <c r="B125" t="s">
        <v>85</v>
      </c>
      <c r="C125" s="12">
        <f>C124*10%</f>
        <v>2821.9178082191779</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06F28-7EDA-42C5-B4A3-B1644D72AFE9}">
  <dimension ref="C36:C92"/>
  <sheetViews>
    <sheetView topLeftCell="A13" workbookViewId="0">
      <selection activeCell="K63" sqref="K63"/>
    </sheetView>
  </sheetViews>
  <sheetFormatPr defaultRowHeight="14.4" x14ac:dyDescent="0.3"/>
  <sheetData>
    <row r="36" spans="3:3" x14ac:dyDescent="0.3">
      <c r="C36" t="s">
        <v>206</v>
      </c>
    </row>
    <row r="37" spans="3:3" x14ac:dyDescent="0.3">
      <c r="C37" t="s">
        <v>207</v>
      </c>
    </row>
    <row r="38" spans="3:3" x14ac:dyDescent="0.3">
      <c r="C38" t="s">
        <v>208</v>
      </c>
    </row>
    <row r="39" spans="3:3" x14ac:dyDescent="0.3">
      <c r="C39" t="s">
        <v>209</v>
      </c>
    </row>
    <row r="41" spans="3:3" x14ac:dyDescent="0.3">
      <c r="C41" t="s">
        <v>210</v>
      </c>
    </row>
    <row r="42" spans="3:3" x14ac:dyDescent="0.3">
      <c r="C42" t="s">
        <v>211</v>
      </c>
    </row>
    <row r="43" spans="3:3" x14ac:dyDescent="0.3">
      <c r="C43" t="s">
        <v>212</v>
      </c>
    </row>
    <row r="44" spans="3:3" x14ac:dyDescent="0.3">
      <c r="C44" t="s">
        <v>213</v>
      </c>
    </row>
    <row r="45" spans="3:3" x14ac:dyDescent="0.3">
      <c r="C45" t="s">
        <v>214</v>
      </c>
    </row>
    <row r="47" spans="3:3" x14ac:dyDescent="0.3">
      <c r="C47" t="s">
        <v>215</v>
      </c>
    </row>
    <row r="48" spans="3:3" x14ac:dyDescent="0.3">
      <c r="C48" t="s">
        <v>216</v>
      </c>
    </row>
    <row r="50" spans="3:3" x14ac:dyDescent="0.3">
      <c r="C50" t="s">
        <v>217</v>
      </c>
    </row>
    <row r="51" spans="3:3" x14ac:dyDescent="0.3">
      <c r="C51" t="s">
        <v>218</v>
      </c>
    </row>
    <row r="54" spans="3:3" x14ac:dyDescent="0.3">
      <c r="C54" t="s">
        <v>219</v>
      </c>
    </row>
    <row r="56" spans="3:3" x14ac:dyDescent="0.3">
      <c r="C56" t="s">
        <v>220</v>
      </c>
    </row>
    <row r="57" spans="3:3" x14ac:dyDescent="0.3">
      <c r="C57" t="s">
        <v>221</v>
      </c>
    </row>
    <row r="58" spans="3:3" x14ac:dyDescent="0.3">
      <c r="C58" t="s">
        <v>222</v>
      </c>
    </row>
    <row r="59" spans="3:3" x14ac:dyDescent="0.3">
      <c r="C59" t="s">
        <v>223</v>
      </c>
    </row>
    <row r="61" spans="3:3" x14ac:dyDescent="0.3">
      <c r="C61" t="s">
        <v>224</v>
      </c>
    </row>
    <row r="64" spans="3:3" x14ac:dyDescent="0.3">
      <c r="C64" t="s">
        <v>65</v>
      </c>
    </row>
    <row r="65" spans="3:3" x14ac:dyDescent="0.3">
      <c r="C65" t="s">
        <v>225</v>
      </c>
    </row>
    <row r="66" spans="3:3" x14ac:dyDescent="0.3">
      <c r="C66" t="s">
        <v>226</v>
      </c>
    </row>
    <row r="68" spans="3:3" x14ac:dyDescent="0.3">
      <c r="C68" t="s">
        <v>227</v>
      </c>
    </row>
    <row r="69" spans="3:3" x14ac:dyDescent="0.3">
      <c r="C69" t="s">
        <v>228</v>
      </c>
    </row>
    <row r="70" spans="3:3" x14ac:dyDescent="0.3">
      <c r="C70" t="s">
        <v>229</v>
      </c>
    </row>
    <row r="71" spans="3:3" x14ac:dyDescent="0.3">
      <c r="C71" t="s">
        <v>230</v>
      </c>
    </row>
    <row r="74" spans="3:3" x14ac:dyDescent="0.3">
      <c r="C74" t="s">
        <v>64</v>
      </c>
    </row>
    <row r="75" spans="3:3" x14ac:dyDescent="0.3">
      <c r="C75" t="s">
        <v>231</v>
      </c>
    </row>
    <row r="76" spans="3:3" x14ac:dyDescent="0.3">
      <c r="C76" t="s">
        <v>232</v>
      </c>
    </row>
    <row r="79" spans="3:3" x14ac:dyDescent="0.3">
      <c r="C79" t="s">
        <v>66</v>
      </c>
    </row>
    <row r="80" spans="3:3" x14ac:dyDescent="0.3">
      <c r="C80" t="s">
        <v>233</v>
      </c>
    </row>
    <row r="82" spans="3:3" x14ac:dyDescent="0.3">
      <c r="C82" t="s">
        <v>234</v>
      </c>
    </row>
    <row r="83" spans="3:3" x14ac:dyDescent="0.3">
      <c r="C83" t="s">
        <v>235</v>
      </c>
    </row>
    <row r="84" spans="3:3" x14ac:dyDescent="0.3">
      <c r="C84" t="s">
        <v>236</v>
      </c>
    </row>
    <row r="85" spans="3:3" x14ac:dyDescent="0.3">
      <c r="C85" t="s">
        <v>237</v>
      </c>
    </row>
    <row r="88" spans="3:3" x14ac:dyDescent="0.3">
      <c r="C88" t="s">
        <v>238</v>
      </c>
    </row>
    <row r="89" spans="3:3" x14ac:dyDescent="0.3">
      <c r="C89" t="s">
        <v>239</v>
      </c>
    </row>
    <row r="90" spans="3:3" x14ac:dyDescent="0.3">
      <c r="C90" t="s">
        <v>240</v>
      </c>
    </row>
    <row r="91" spans="3:3" x14ac:dyDescent="0.3">
      <c r="C91" t="s">
        <v>241</v>
      </c>
    </row>
    <row r="92" spans="3:3" x14ac:dyDescent="0.3">
      <c r="C92" t="s">
        <v>242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AC181-7398-4EA1-85A7-AD490E8D8ECF}">
  <dimension ref="C3:C38"/>
  <sheetViews>
    <sheetView topLeftCell="A13" workbookViewId="0">
      <selection activeCell="K8" sqref="K8"/>
    </sheetView>
  </sheetViews>
  <sheetFormatPr defaultRowHeight="14.4" x14ac:dyDescent="0.3"/>
  <sheetData>
    <row r="3" spans="3:3" x14ac:dyDescent="0.3">
      <c r="C3" t="s">
        <v>244</v>
      </c>
    </row>
    <row r="4" spans="3:3" x14ac:dyDescent="0.3">
      <c r="C4" t="s">
        <v>245</v>
      </c>
    </row>
    <row r="5" spans="3:3" x14ac:dyDescent="0.3">
      <c r="C5" t="s">
        <v>246</v>
      </c>
    </row>
    <row r="8" spans="3:3" x14ac:dyDescent="0.3">
      <c r="C8" t="s">
        <v>247</v>
      </c>
    </row>
    <row r="10" spans="3:3" x14ac:dyDescent="0.3">
      <c r="C10" t="s">
        <v>248</v>
      </c>
    </row>
    <row r="11" spans="3:3" x14ac:dyDescent="0.3">
      <c r="C11" t="s">
        <v>249</v>
      </c>
    </row>
    <row r="12" spans="3:3" x14ac:dyDescent="0.3">
      <c r="C12" t="s">
        <v>250</v>
      </c>
    </row>
    <row r="13" spans="3:3" x14ac:dyDescent="0.3">
      <c r="C13" t="s">
        <v>251</v>
      </c>
    </row>
    <row r="14" spans="3:3" x14ac:dyDescent="0.3">
      <c r="C14" t="s">
        <v>252</v>
      </c>
    </row>
    <row r="16" spans="3:3" x14ac:dyDescent="0.3">
      <c r="C16" t="s">
        <v>253</v>
      </c>
    </row>
    <row r="17" spans="3:3" x14ac:dyDescent="0.3">
      <c r="C17" t="s">
        <v>254</v>
      </c>
    </row>
    <row r="18" spans="3:3" x14ac:dyDescent="0.3">
      <c r="C18" t="s">
        <v>255</v>
      </c>
    </row>
    <row r="19" spans="3:3" x14ac:dyDescent="0.3">
      <c r="C19" t="s">
        <v>256</v>
      </c>
    </row>
    <row r="20" spans="3:3" x14ac:dyDescent="0.3">
      <c r="C20" t="s">
        <v>257</v>
      </c>
    </row>
    <row r="23" spans="3:3" x14ac:dyDescent="0.3">
      <c r="C23" t="s">
        <v>258</v>
      </c>
    </row>
    <row r="24" spans="3:3" x14ac:dyDescent="0.3">
      <c r="C24" t="s">
        <v>259</v>
      </c>
    </row>
    <row r="25" spans="3:3" x14ac:dyDescent="0.3">
      <c r="C25" t="s">
        <v>260</v>
      </c>
    </row>
    <row r="26" spans="3:3" x14ac:dyDescent="0.3">
      <c r="C26" t="s">
        <v>261</v>
      </c>
    </row>
    <row r="27" spans="3:3" x14ac:dyDescent="0.3">
      <c r="C27" t="s">
        <v>262</v>
      </c>
    </row>
    <row r="29" spans="3:3" x14ac:dyDescent="0.3">
      <c r="C29" t="s">
        <v>263</v>
      </c>
    </row>
    <row r="30" spans="3:3" x14ac:dyDescent="0.3">
      <c r="C30" t="s">
        <v>264</v>
      </c>
    </row>
    <row r="31" spans="3:3" x14ac:dyDescent="0.3">
      <c r="C31" t="s">
        <v>265</v>
      </c>
    </row>
    <row r="32" spans="3:3" x14ac:dyDescent="0.3">
      <c r="C32" t="s">
        <v>266</v>
      </c>
    </row>
    <row r="33" spans="3:3" x14ac:dyDescent="0.3">
      <c r="C33" t="s">
        <v>267</v>
      </c>
    </row>
    <row r="34" spans="3:3" x14ac:dyDescent="0.3">
      <c r="C34" t="s">
        <v>268</v>
      </c>
    </row>
    <row r="36" spans="3:3" x14ac:dyDescent="0.3">
      <c r="C36" t="s">
        <v>269</v>
      </c>
    </row>
    <row r="37" spans="3:3" x14ac:dyDescent="0.3">
      <c r="C37" t="s">
        <v>270</v>
      </c>
    </row>
    <row r="38" spans="3:3" x14ac:dyDescent="0.3">
      <c r="C38" t="s">
        <v>271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5A147-56CE-4610-94C9-FE33F88ABDC3}">
  <dimension ref="C14:I32"/>
  <sheetViews>
    <sheetView topLeftCell="A16" workbookViewId="0">
      <selection activeCell="K30" sqref="K30"/>
    </sheetView>
  </sheetViews>
  <sheetFormatPr defaultRowHeight="14.4" x14ac:dyDescent="0.3"/>
  <sheetData>
    <row r="14" spans="3:8" x14ac:dyDescent="0.3">
      <c r="D14" t="s">
        <v>86</v>
      </c>
      <c r="H14" s="1">
        <v>20000</v>
      </c>
    </row>
    <row r="16" spans="3:8" x14ac:dyDescent="0.3">
      <c r="C16" t="s">
        <v>87</v>
      </c>
      <c r="E16" t="s">
        <v>40</v>
      </c>
      <c r="G16">
        <f>H14-H14*40%</f>
        <v>12000</v>
      </c>
    </row>
    <row r="18" spans="3:9" x14ac:dyDescent="0.3">
      <c r="E18" t="s">
        <v>66</v>
      </c>
      <c r="G18">
        <f>G16*10%</f>
        <v>1200</v>
      </c>
      <c r="I18" t="s">
        <v>88</v>
      </c>
    </row>
    <row r="20" spans="3:9" x14ac:dyDescent="0.3">
      <c r="E20" t="s">
        <v>64</v>
      </c>
      <c r="G20">
        <f>H20*10%</f>
        <v>2430</v>
      </c>
      <c r="H20">
        <f>6*4050</f>
        <v>24300</v>
      </c>
    </row>
    <row r="22" spans="3:9" x14ac:dyDescent="0.3">
      <c r="E22" t="s">
        <v>75</v>
      </c>
      <c r="G22">
        <f>H22*25%</f>
        <v>12150</v>
      </c>
      <c r="H22">
        <f>12*4050</f>
        <v>48600</v>
      </c>
    </row>
    <row r="26" spans="3:9" x14ac:dyDescent="0.3">
      <c r="C26" t="s">
        <v>89</v>
      </c>
      <c r="E26" t="s">
        <v>85</v>
      </c>
      <c r="G26">
        <f>G16*10%</f>
        <v>1200</v>
      </c>
    </row>
    <row r="28" spans="3:9" x14ac:dyDescent="0.3">
      <c r="E28" t="s">
        <v>90</v>
      </c>
      <c r="G28">
        <v>0</v>
      </c>
    </row>
    <row r="30" spans="3:9" x14ac:dyDescent="0.3">
      <c r="E30" t="s">
        <v>65</v>
      </c>
      <c r="G30">
        <v>0</v>
      </c>
    </row>
    <row r="32" spans="3:9" x14ac:dyDescent="0.3">
      <c r="D32" t="s">
        <v>91</v>
      </c>
      <c r="E32" t="str">
        <f>I18</f>
        <v>reținut și plătit de plătitorul de venit</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4525-B1B4-425F-AA85-D442A9A4E22B}">
  <dimension ref="B22:I79"/>
  <sheetViews>
    <sheetView topLeftCell="A12" workbookViewId="0">
      <selection activeCell="B22" sqref="B22:D41"/>
    </sheetView>
  </sheetViews>
  <sheetFormatPr defaultRowHeight="14.4" x14ac:dyDescent="0.3"/>
  <cols>
    <col min="3" max="3" width="43.6640625" customWidth="1"/>
    <col min="9" max="9" width="9.44140625" bestFit="1" customWidth="1"/>
  </cols>
  <sheetData>
    <row r="22" spans="2:5" x14ac:dyDescent="0.3">
      <c r="B22" s="5" t="s">
        <v>10</v>
      </c>
      <c r="C22" s="5" t="s">
        <v>23</v>
      </c>
      <c r="D22" s="5" t="s">
        <v>31</v>
      </c>
    </row>
    <row r="23" spans="2:5" x14ac:dyDescent="0.3">
      <c r="B23" s="3">
        <v>1</v>
      </c>
      <c r="C23" s="5" t="s">
        <v>24</v>
      </c>
      <c r="D23" s="3">
        <v>5000</v>
      </c>
    </row>
    <row r="24" spans="2:5" x14ac:dyDescent="0.3">
      <c r="B24" s="3">
        <v>2</v>
      </c>
      <c r="C24" s="5" t="s">
        <v>25</v>
      </c>
      <c r="D24" s="3">
        <f>D23*10%</f>
        <v>500</v>
      </c>
    </row>
    <row r="25" spans="2:5" x14ac:dyDescent="0.3">
      <c r="B25" s="3">
        <v>3</v>
      </c>
      <c r="C25" s="5" t="s">
        <v>26</v>
      </c>
      <c r="D25" s="3">
        <f>SUM(D26:D28)</f>
        <v>621</v>
      </c>
    </row>
    <row r="26" spans="2:5" x14ac:dyDescent="0.3">
      <c r="B26" s="3"/>
      <c r="C26" s="3" t="s">
        <v>33</v>
      </c>
      <c r="D26" s="3">
        <f>700-600</f>
        <v>100</v>
      </c>
    </row>
    <row r="27" spans="2:5" x14ac:dyDescent="0.3">
      <c r="B27" s="3"/>
      <c r="C27" s="3" t="s">
        <v>34</v>
      </c>
      <c r="D27" s="3">
        <f>40000*1.7%*200/340</f>
        <v>400</v>
      </c>
      <c r="E27" t="s">
        <v>92</v>
      </c>
    </row>
    <row r="28" spans="2:5" x14ac:dyDescent="0.3">
      <c r="B28" s="3"/>
      <c r="C28" s="3" t="s">
        <v>35</v>
      </c>
      <c r="D28" s="3">
        <v>121</v>
      </c>
    </row>
    <row r="29" spans="2:5" x14ac:dyDescent="0.3">
      <c r="B29" s="3">
        <v>4</v>
      </c>
      <c r="C29" s="5" t="s">
        <v>27</v>
      </c>
      <c r="D29" s="3">
        <v>0</v>
      </c>
    </row>
    <row r="30" spans="2:5" x14ac:dyDescent="0.3">
      <c r="B30" s="3">
        <v>5</v>
      </c>
      <c r="C30" s="6" t="s">
        <v>43</v>
      </c>
      <c r="D30" s="3">
        <f>D23+D24+D25-D29+D32</f>
        <v>6721</v>
      </c>
    </row>
    <row r="31" spans="2:5" x14ac:dyDescent="0.3">
      <c r="B31" s="3">
        <v>6</v>
      </c>
      <c r="C31" s="5" t="s">
        <v>36</v>
      </c>
      <c r="D31" s="4">
        <f>(D30-D32)*25%</f>
        <v>1530.25</v>
      </c>
    </row>
    <row r="32" spans="2:5" x14ac:dyDescent="0.3">
      <c r="B32" s="3">
        <v>7</v>
      </c>
      <c r="C32" s="3" t="s">
        <v>28</v>
      </c>
      <c r="D32" s="3">
        <f>30*20</f>
        <v>600</v>
      </c>
    </row>
    <row r="33" spans="2:4" x14ac:dyDescent="0.3">
      <c r="B33" s="3">
        <v>8</v>
      </c>
      <c r="C33" s="5" t="s">
        <v>39</v>
      </c>
      <c r="D33" s="14">
        <f>D30*10%</f>
        <v>672.1</v>
      </c>
    </row>
    <row r="34" spans="2:4" x14ac:dyDescent="0.3">
      <c r="B34" s="3">
        <v>9</v>
      </c>
      <c r="C34" s="5" t="s">
        <v>29</v>
      </c>
      <c r="D34" s="3">
        <f>SUM(D35:D36)</f>
        <v>250</v>
      </c>
    </row>
    <row r="35" spans="2:4" x14ac:dyDescent="0.3">
      <c r="B35" s="3"/>
      <c r="C35" s="3" t="s">
        <v>38</v>
      </c>
      <c r="D35" s="3">
        <v>50</v>
      </c>
    </row>
    <row r="36" spans="2:4" x14ac:dyDescent="0.3">
      <c r="B36" s="3"/>
      <c r="C36" s="3" t="s">
        <v>37</v>
      </c>
      <c r="D36" s="3">
        <f>2*100</f>
        <v>200</v>
      </c>
    </row>
    <row r="37" spans="2:4" x14ac:dyDescent="0.3">
      <c r="B37" s="3">
        <v>10</v>
      </c>
      <c r="C37" s="6" t="s">
        <v>44</v>
      </c>
      <c r="D37" s="4">
        <f>D30-D31-D33-D34</f>
        <v>4268.6499999999996</v>
      </c>
    </row>
    <row r="38" spans="2:4" x14ac:dyDescent="0.3">
      <c r="B38" s="3">
        <v>11</v>
      </c>
      <c r="C38" s="5" t="s">
        <v>41</v>
      </c>
      <c r="D38" s="14">
        <f>D37*10%</f>
        <v>426.86500000000001</v>
      </c>
    </row>
    <row r="39" spans="2:4" x14ac:dyDescent="0.3">
      <c r="B39" s="3">
        <v>12</v>
      </c>
      <c r="C39" s="3" t="s">
        <v>42</v>
      </c>
      <c r="D39" s="4">
        <f>D30-D31-D33-D38</f>
        <v>4091.7849999999999</v>
      </c>
    </row>
    <row r="40" spans="2:4" x14ac:dyDescent="0.3">
      <c r="B40" s="3">
        <v>13</v>
      </c>
      <c r="C40" s="3" t="s">
        <v>26</v>
      </c>
      <c r="D40" s="3">
        <f>D25</f>
        <v>621</v>
      </c>
    </row>
    <row r="41" spans="2:4" x14ac:dyDescent="0.3">
      <c r="B41" s="3">
        <v>14</v>
      </c>
      <c r="C41" s="3" t="s">
        <v>30</v>
      </c>
      <c r="D41" s="3">
        <v>50</v>
      </c>
    </row>
    <row r="53" spans="3:9" x14ac:dyDescent="0.3">
      <c r="C53" s="3" t="s">
        <v>45</v>
      </c>
      <c r="D53" s="3">
        <v>1</v>
      </c>
      <c r="E53" s="3">
        <v>2</v>
      </c>
      <c r="F53" s="3">
        <v>3</v>
      </c>
      <c r="G53" s="3">
        <v>4</v>
      </c>
      <c r="H53" s="3">
        <v>5</v>
      </c>
      <c r="I53" s="3">
        <v>6</v>
      </c>
    </row>
    <row r="54" spans="3:9" x14ac:dyDescent="0.3">
      <c r="C54" s="3" t="s">
        <v>46</v>
      </c>
      <c r="D54" s="3">
        <v>5000</v>
      </c>
      <c r="E54" s="3">
        <v>5000</v>
      </c>
      <c r="F54" s="3">
        <v>5000</v>
      </c>
      <c r="G54" s="3">
        <v>5000</v>
      </c>
      <c r="H54" s="3">
        <v>5000</v>
      </c>
      <c r="I54" s="3">
        <v>5000</v>
      </c>
    </row>
    <row r="55" spans="3:9" x14ac:dyDescent="0.3">
      <c r="C55" s="3" t="s">
        <v>47</v>
      </c>
      <c r="D55" s="3">
        <v>18</v>
      </c>
      <c r="E55" s="3">
        <v>20</v>
      </c>
      <c r="F55" s="3">
        <v>22</v>
      </c>
      <c r="G55" s="3">
        <v>20</v>
      </c>
      <c r="H55" s="3">
        <v>20</v>
      </c>
      <c r="I55" s="3">
        <v>21</v>
      </c>
    </row>
    <row r="57" spans="3:9" x14ac:dyDescent="0.3">
      <c r="C57" t="s">
        <v>93</v>
      </c>
      <c r="D57">
        <f>6*5000</f>
        <v>30000</v>
      </c>
    </row>
    <row r="58" spans="3:9" x14ac:dyDescent="0.3">
      <c r="C58" t="s">
        <v>94</v>
      </c>
      <c r="D58">
        <f>SUM(D55:I55)</f>
        <v>121</v>
      </c>
    </row>
    <row r="59" spans="3:9" x14ac:dyDescent="0.3">
      <c r="C59" t="s">
        <v>95</v>
      </c>
      <c r="D59" s="15">
        <f>D57/D58</f>
        <v>247.93388429752065</v>
      </c>
    </row>
    <row r="61" spans="3:9" x14ac:dyDescent="0.3">
      <c r="C61" s="2" t="s">
        <v>96</v>
      </c>
      <c r="D61" s="16">
        <f>D59*(5-1)*55%</f>
        <v>545.4545454545455</v>
      </c>
    </row>
    <row r="73" spans="3:9" x14ac:dyDescent="0.3">
      <c r="C73" t="s">
        <v>97</v>
      </c>
      <c r="G73" t="s">
        <v>101</v>
      </c>
    </row>
    <row r="74" spans="3:9" x14ac:dyDescent="0.3">
      <c r="C74" t="s">
        <v>98</v>
      </c>
      <c r="D74">
        <f>2.5*23*3</f>
        <v>172.5</v>
      </c>
      <c r="G74" t="s">
        <v>102</v>
      </c>
      <c r="I74" s="13">
        <f>6000*3/22*3</f>
        <v>2454.5454545454545</v>
      </c>
    </row>
    <row r="76" spans="3:9" x14ac:dyDescent="0.3">
      <c r="C76" t="s">
        <v>99</v>
      </c>
      <c r="D76">
        <v>240</v>
      </c>
      <c r="G76" t="s">
        <v>103</v>
      </c>
      <c r="I76">
        <f>D74</f>
        <v>172.5</v>
      </c>
    </row>
    <row r="78" spans="3:9" x14ac:dyDescent="0.3">
      <c r="C78" t="s">
        <v>100</v>
      </c>
      <c r="D78">
        <f>D76-D74</f>
        <v>67.5</v>
      </c>
    </row>
    <row r="79" spans="3:9" x14ac:dyDescent="0.3">
      <c r="G79" t="s">
        <v>104</v>
      </c>
      <c r="I79">
        <f>I76</f>
        <v>172.5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B0C9B-1532-4E6F-B28E-B3D782A8425B}">
  <dimension ref="B11:I49"/>
  <sheetViews>
    <sheetView topLeftCell="A32" workbookViewId="0">
      <selection activeCell="L51" sqref="L51"/>
    </sheetView>
  </sheetViews>
  <sheetFormatPr defaultRowHeight="14.4" x14ac:dyDescent="0.3"/>
  <sheetData>
    <row r="11" spans="3:6" x14ac:dyDescent="0.3">
      <c r="C11" t="s">
        <v>106</v>
      </c>
      <c r="F11">
        <v>48000</v>
      </c>
    </row>
    <row r="13" spans="3:6" x14ac:dyDescent="0.3">
      <c r="C13" t="s">
        <v>40</v>
      </c>
      <c r="F13">
        <f>F11-F11*20%</f>
        <v>38400</v>
      </c>
    </row>
    <row r="15" spans="3:6" x14ac:dyDescent="0.3">
      <c r="C15" t="s">
        <v>66</v>
      </c>
      <c r="F15">
        <f>F13*10%</f>
        <v>3840</v>
      </c>
    </row>
    <row r="38" spans="2:7" x14ac:dyDescent="0.3">
      <c r="C38" t="s">
        <v>105</v>
      </c>
      <c r="D38">
        <v>3000</v>
      </c>
    </row>
    <row r="40" spans="2:7" x14ac:dyDescent="0.3">
      <c r="B40" t="s">
        <v>87</v>
      </c>
      <c r="C40" t="s">
        <v>107</v>
      </c>
      <c r="E40">
        <f>D38</f>
        <v>3000</v>
      </c>
    </row>
    <row r="42" spans="2:7" x14ac:dyDescent="0.3">
      <c r="C42" t="s">
        <v>108</v>
      </c>
      <c r="E42">
        <f>E40-E40*20%</f>
        <v>2400</v>
      </c>
    </row>
    <row r="44" spans="2:7" x14ac:dyDescent="0.3">
      <c r="C44" t="s">
        <v>66</v>
      </c>
      <c r="E44">
        <f>E42*10%</f>
        <v>240</v>
      </c>
      <c r="G44" t="s">
        <v>109</v>
      </c>
    </row>
    <row r="47" spans="2:7" x14ac:dyDescent="0.3">
      <c r="B47" t="s">
        <v>89</v>
      </c>
      <c r="C47" t="s">
        <v>63</v>
      </c>
      <c r="E47">
        <f>E42*12</f>
        <v>28800</v>
      </c>
    </row>
    <row r="49" spans="3:9" x14ac:dyDescent="0.3">
      <c r="C49" t="s">
        <v>64</v>
      </c>
      <c r="E49">
        <f>G49*10%</f>
        <v>2430</v>
      </c>
      <c r="G49">
        <f>6*4050</f>
        <v>24300</v>
      </c>
      <c r="I49" t="s">
        <v>110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B7B8-2255-4E50-B0D0-79732CDA9639}">
  <dimension ref="D8:I27"/>
  <sheetViews>
    <sheetView topLeftCell="B16" workbookViewId="0">
      <selection activeCell="K25" sqref="K25"/>
    </sheetView>
  </sheetViews>
  <sheetFormatPr defaultRowHeight="14.4" x14ac:dyDescent="0.3"/>
  <cols>
    <col min="9" max="9" width="12" customWidth="1"/>
  </cols>
  <sheetData>
    <row r="8" spans="4:9" x14ac:dyDescent="0.3">
      <c r="D8" t="s">
        <v>111</v>
      </c>
      <c r="F8">
        <f>100000*16%</f>
        <v>16000</v>
      </c>
      <c r="H8" t="s">
        <v>113</v>
      </c>
    </row>
    <row r="10" spans="4:9" x14ac:dyDescent="0.3">
      <c r="D10" t="s">
        <v>112</v>
      </c>
      <c r="F10">
        <f>100000-F8</f>
        <v>84000</v>
      </c>
    </row>
    <row r="12" spans="4:9" x14ac:dyDescent="0.3">
      <c r="D12" t="s">
        <v>64</v>
      </c>
      <c r="F12">
        <f>I12*10%</f>
        <v>4860</v>
      </c>
      <c r="H12">
        <f>24*4050</f>
        <v>97200</v>
      </c>
      <c r="I12">
        <f>12*4050</f>
        <v>48600</v>
      </c>
    </row>
    <row r="14" spans="4:9" x14ac:dyDescent="0.3">
      <c r="D14" t="s">
        <v>65</v>
      </c>
      <c r="F14" t="s">
        <v>114</v>
      </c>
    </row>
    <row r="24" spans="4:9" x14ac:dyDescent="0.3">
      <c r="D24" t="s">
        <v>115</v>
      </c>
      <c r="I24" t="s">
        <v>116</v>
      </c>
    </row>
    <row r="27" spans="4:9" x14ac:dyDescent="0.3">
      <c r="D27"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57D6-1526-4583-9942-DF7E55CE4D7D}">
  <dimension ref="C10:F27"/>
  <sheetViews>
    <sheetView topLeftCell="A13" workbookViewId="0">
      <selection activeCell="F28" sqref="F28"/>
    </sheetView>
  </sheetViews>
  <sheetFormatPr defaultRowHeight="14.4" x14ac:dyDescent="0.3"/>
  <sheetData>
    <row r="10" spans="3:5" x14ac:dyDescent="0.3">
      <c r="C10" t="s">
        <v>118</v>
      </c>
      <c r="E10">
        <v>5350</v>
      </c>
    </row>
    <row r="12" spans="3:5" x14ac:dyDescent="0.3">
      <c r="C12" t="s">
        <v>66</v>
      </c>
      <c r="E12" s="17">
        <f>(E10-3000-E14)*10%</f>
        <v>211.5</v>
      </c>
    </row>
    <row r="14" spans="3:5" x14ac:dyDescent="0.3">
      <c r="C14" t="s">
        <v>64</v>
      </c>
      <c r="E14">
        <f>(E10-3000)*10%</f>
        <v>235</v>
      </c>
    </row>
    <row r="16" spans="3:5" x14ac:dyDescent="0.3">
      <c r="C16" t="s">
        <v>119</v>
      </c>
      <c r="E16" s="12">
        <f>E10-E12-E14</f>
        <v>4903.5</v>
      </c>
    </row>
    <row r="25" spans="4:6" x14ac:dyDescent="0.3">
      <c r="D25" t="s">
        <v>84</v>
      </c>
      <c r="F25">
        <f>(20-2)*150</f>
        <v>2700</v>
      </c>
    </row>
    <row r="27" spans="4:6" x14ac:dyDescent="0.3">
      <c r="D27" t="s">
        <v>66</v>
      </c>
      <c r="F27">
        <f>F25*10%</f>
        <v>270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99F2-B337-480C-803C-A62A5A69F97A}">
  <dimension ref="D13:G23"/>
  <sheetViews>
    <sheetView topLeftCell="A7" workbookViewId="0">
      <selection activeCell="G17" sqref="G17"/>
    </sheetView>
  </sheetViews>
  <sheetFormatPr defaultRowHeight="14.4" x14ac:dyDescent="0.3"/>
  <sheetData>
    <row r="13" spans="4:7" x14ac:dyDescent="0.3">
      <c r="D13" t="s">
        <v>120</v>
      </c>
      <c r="G13">
        <f>50000*4.9</f>
        <v>245000.00000000003</v>
      </c>
    </row>
    <row r="15" spans="4:7" x14ac:dyDescent="0.3">
      <c r="D15" t="s">
        <v>121</v>
      </c>
      <c r="G15">
        <f>G13*3%</f>
        <v>7350.0000000000009</v>
      </c>
    </row>
    <row r="17" spans="4:7" x14ac:dyDescent="0.3">
      <c r="D17" t="s">
        <v>122</v>
      </c>
      <c r="G17">
        <f>8000*30*4.9</f>
        <v>1176000</v>
      </c>
    </row>
    <row r="19" spans="4:7" x14ac:dyDescent="0.3">
      <c r="D19" t="s">
        <v>123</v>
      </c>
      <c r="G19">
        <f>G17*1%</f>
        <v>11760</v>
      </c>
    </row>
    <row r="21" spans="4:7" x14ac:dyDescent="0.3">
      <c r="D21" t="s">
        <v>124</v>
      </c>
    </row>
    <row r="23" spans="4:7" x14ac:dyDescent="0.3">
      <c r="D23" t="s">
        <v>125</v>
      </c>
      <c r="F23" t="s">
        <v>114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959A2-1774-44FA-BC66-8F3B00C7E2B0}">
  <dimension ref="C12:F14"/>
  <sheetViews>
    <sheetView workbookViewId="0">
      <selection activeCell="F15" sqref="F15"/>
    </sheetView>
  </sheetViews>
  <sheetFormatPr defaultRowHeight="14.4" x14ac:dyDescent="0.3"/>
  <sheetData>
    <row r="12" spans="3:6" x14ac:dyDescent="0.3">
      <c r="C12" t="s">
        <v>126</v>
      </c>
      <c r="F12">
        <f>1200*10%</f>
        <v>120</v>
      </c>
    </row>
    <row r="14" spans="3:6" x14ac:dyDescent="0.3">
      <c r="C14" t="s">
        <v>127</v>
      </c>
      <c r="F14">
        <f>1200-F12</f>
        <v>1080</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F276-CFF2-496B-96F2-92C5866631F3}">
  <dimension ref="B15:P116"/>
  <sheetViews>
    <sheetView tabSelected="1" topLeftCell="C38" workbookViewId="0">
      <selection activeCell="I46" sqref="I46"/>
    </sheetView>
  </sheetViews>
  <sheetFormatPr defaultRowHeight="14.4" x14ac:dyDescent="0.3"/>
  <cols>
    <col min="3" max="3" width="71.33203125" customWidth="1"/>
    <col min="9" max="9" width="29.21875" customWidth="1"/>
    <col min="13" max="13" width="18.5546875" customWidth="1"/>
    <col min="14" max="14" width="57.77734375" bestFit="1" customWidth="1"/>
  </cols>
  <sheetData>
    <row r="15" spans="3:4" ht="15.6" x14ac:dyDescent="0.3">
      <c r="C15" s="9" t="s">
        <v>0</v>
      </c>
      <c r="D15" s="9" t="s">
        <v>1</v>
      </c>
    </row>
    <row r="16" spans="3:4" ht="15.6" x14ac:dyDescent="0.3">
      <c r="C16" s="7" t="s">
        <v>48</v>
      </c>
      <c r="D16" s="8">
        <v>95000</v>
      </c>
    </row>
    <row r="17" spans="3:15" ht="15.6" x14ac:dyDescent="0.3">
      <c r="C17" s="7" t="s">
        <v>49</v>
      </c>
      <c r="D17" s="8">
        <v>5000</v>
      </c>
    </row>
    <row r="18" spans="3:15" ht="15.6" x14ac:dyDescent="0.3">
      <c r="C18" s="7" t="s">
        <v>3</v>
      </c>
      <c r="D18" s="7"/>
    </row>
    <row r="19" spans="3:15" ht="15.6" x14ac:dyDescent="0.3">
      <c r="C19" s="7" t="s">
        <v>50</v>
      </c>
      <c r="D19" s="8">
        <v>8484</v>
      </c>
    </row>
    <row r="20" spans="3:15" ht="15.6" x14ac:dyDescent="0.3">
      <c r="C20" s="7" t="s">
        <v>51</v>
      </c>
      <c r="D20" s="8">
        <v>1175</v>
      </c>
    </row>
    <row r="21" spans="3:15" ht="15.6" x14ac:dyDescent="0.3">
      <c r="C21" s="7" t="s">
        <v>52</v>
      </c>
      <c r="D21" s="8">
        <v>5200</v>
      </c>
    </row>
    <row r="22" spans="3:15" ht="15.6" x14ac:dyDescent="0.3">
      <c r="C22" s="7" t="s">
        <v>53</v>
      </c>
      <c r="D22" s="7">
        <v>800</v>
      </c>
    </row>
    <row r="23" spans="3:15" ht="15.6" x14ac:dyDescent="0.3">
      <c r="C23" s="7" t="s">
        <v>54</v>
      </c>
      <c r="D23" s="8">
        <v>1000</v>
      </c>
    </row>
    <row r="24" spans="3:15" ht="15.6" x14ac:dyDescent="0.3">
      <c r="C24" s="7" t="s">
        <v>8</v>
      </c>
      <c r="D24" s="8">
        <v>4000</v>
      </c>
    </row>
    <row r="25" spans="3:15" ht="15.6" x14ac:dyDescent="0.3">
      <c r="C25" s="7" t="s">
        <v>55</v>
      </c>
      <c r="D25" s="8">
        <v>1000</v>
      </c>
    </row>
    <row r="26" spans="3:15" ht="31.2" x14ac:dyDescent="0.3">
      <c r="C26" s="10" t="s">
        <v>56</v>
      </c>
      <c r="D26" s="7">
        <v>700</v>
      </c>
    </row>
    <row r="27" spans="3:15" ht="45.6" customHeight="1" x14ac:dyDescent="0.3">
      <c r="C27" s="10" t="s">
        <v>57</v>
      </c>
      <c r="D27" s="8">
        <v>14400</v>
      </c>
    </row>
    <row r="28" spans="3:15" ht="15.6" x14ac:dyDescent="0.3">
      <c r="C28" s="7" t="s">
        <v>58</v>
      </c>
      <c r="D28" s="8">
        <v>1296</v>
      </c>
    </row>
    <row r="30" spans="3:15" x14ac:dyDescent="0.3">
      <c r="I30" t="s">
        <v>141</v>
      </c>
      <c r="M30" t="s">
        <v>142</v>
      </c>
      <c r="O30">
        <f>(35000-20%*35000)*10%</f>
        <v>2800</v>
      </c>
    </row>
    <row r="31" spans="3:15" x14ac:dyDescent="0.3">
      <c r="I31" t="s">
        <v>149</v>
      </c>
      <c r="K31">
        <f>35000-O30</f>
        <v>32200</v>
      </c>
    </row>
    <row r="33" spans="9:15" x14ac:dyDescent="0.3">
      <c r="I33" t="s">
        <v>143</v>
      </c>
      <c r="M33" t="s">
        <v>144</v>
      </c>
      <c r="O33">
        <f>10%*(36000-20%*36000)</f>
        <v>2880</v>
      </c>
    </row>
    <row r="34" spans="9:15" x14ac:dyDescent="0.3">
      <c r="I34" t="s">
        <v>150</v>
      </c>
      <c r="K34">
        <f>36000-O33</f>
        <v>33120</v>
      </c>
    </row>
    <row r="38" spans="9:15" x14ac:dyDescent="0.3">
      <c r="I38" t="s">
        <v>145</v>
      </c>
      <c r="L38">
        <f>2500-2500*40%</f>
        <v>1500</v>
      </c>
      <c r="M38" t="s">
        <v>146</v>
      </c>
      <c r="O38">
        <f>L38*10%</f>
        <v>150</v>
      </c>
    </row>
    <row r="41" spans="9:15" x14ac:dyDescent="0.3">
      <c r="I41" t="s">
        <v>147</v>
      </c>
      <c r="L41">
        <f>50000*5</f>
        <v>250000</v>
      </c>
      <c r="M41" t="s">
        <v>148</v>
      </c>
      <c r="O41">
        <f>L41*1%</f>
        <v>2500</v>
      </c>
    </row>
    <row r="44" spans="9:15" x14ac:dyDescent="0.3">
      <c r="I44" t="s">
        <v>272</v>
      </c>
    </row>
    <row r="46" spans="9:15" x14ac:dyDescent="0.3">
      <c r="I46" t="s">
        <v>151</v>
      </c>
      <c r="L46">
        <f>K31+K34</f>
        <v>65320</v>
      </c>
    </row>
    <row r="48" spans="9:15" x14ac:dyDescent="0.3">
      <c r="M48">
        <f>12*4050</f>
        <v>48600</v>
      </c>
    </row>
    <row r="50" spans="8:15" x14ac:dyDescent="0.3">
      <c r="I50" t="s">
        <v>64</v>
      </c>
      <c r="L50">
        <f>M48*10%</f>
        <v>4860</v>
      </c>
    </row>
    <row r="53" spans="8:15" x14ac:dyDescent="0.3">
      <c r="M53" s="20" t="s">
        <v>243</v>
      </c>
    </row>
    <row r="54" spans="8:15" x14ac:dyDescent="0.3">
      <c r="H54" t="s">
        <v>10</v>
      </c>
      <c r="I54" t="s">
        <v>23</v>
      </c>
      <c r="J54" t="s">
        <v>31</v>
      </c>
    </row>
    <row r="55" spans="8:15" x14ac:dyDescent="0.3">
      <c r="H55">
        <v>1</v>
      </c>
      <c r="I55" t="s">
        <v>24</v>
      </c>
      <c r="J55">
        <v>6000</v>
      </c>
      <c r="M55" t="s">
        <v>10</v>
      </c>
      <c r="N55" t="s">
        <v>23</v>
      </c>
      <c r="O55" t="s">
        <v>31</v>
      </c>
    </row>
    <row r="56" spans="8:15" x14ac:dyDescent="0.3">
      <c r="H56">
        <v>2</v>
      </c>
      <c r="I56" t="s">
        <v>25</v>
      </c>
      <c r="J56">
        <v>0</v>
      </c>
      <c r="M56" t="s">
        <v>11</v>
      </c>
      <c r="N56" t="s">
        <v>24</v>
      </c>
      <c r="O56" t="s">
        <v>161</v>
      </c>
    </row>
    <row r="57" spans="8:15" x14ac:dyDescent="0.3">
      <c r="H57">
        <v>3</v>
      </c>
      <c r="I57" t="s">
        <v>26</v>
      </c>
      <c r="J57">
        <f>SUM(J58:J60)</f>
        <v>500</v>
      </c>
      <c r="M57" t="s">
        <v>12</v>
      </c>
      <c r="N57" t="s">
        <v>25</v>
      </c>
      <c r="O57">
        <v>0</v>
      </c>
    </row>
    <row r="58" spans="8:15" x14ac:dyDescent="0.3">
      <c r="I58" t="s">
        <v>33</v>
      </c>
      <c r="J58">
        <f>400-300</f>
        <v>100</v>
      </c>
      <c r="M58" t="s">
        <v>13</v>
      </c>
      <c r="N58" t="s">
        <v>162</v>
      </c>
      <c r="O58" s="1">
        <v>1300</v>
      </c>
    </row>
    <row r="59" spans="8:15" x14ac:dyDescent="0.3">
      <c r="I59" t="s">
        <v>26</v>
      </c>
      <c r="J59">
        <f>40000*1.7%*200/340</f>
        <v>400</v>
      </c>
      <c r="M59" t="s">
        <v>14</v>
      </c>
      <c r="N59" t="s">
        <v>163</v>
      </c>
      <c r="O59" t="s">
        <v>32</v>
      </c>
    </row>
    <row r="60" spans="8:15" x14ac:dyDescent="0.3">
      <c r="M60" t="s">
        <v>15</v>
      </c>
      <c r="N60" t="s">
        <v>164</v>
      </c>
      <c r="O60">
        <v>9040</v>
      </c>
    </row>
    <row r="61" spans="8:15" x14ac:dyDescent="0.3">
      <c r="H61">
        <v>4</v>
      </c>
      <c r="I61" t="s">
        <v>27</v>
      </c>
      <c r="J61">
        <v>0</v>
      </c>
      <c r="M61" t="s">
        <v>16</v>
      </c>
      <c r="N61" t="s">
        <v>165</v>
      </c>
      <c r="O61">
        <v>1825</v>
      </c>
    </row>
    <row r="62" spans="8:15" x14ac:dyDescent="0.3">
      <c r="H62">
        <v>5</v>
      </c>
      <c r="I62" t="s">
        <v>43</v>
      </c>
      <c r="J62">
        <f>J55+J56+J57-J61+J64</f>
        <v>7100</v>
      </c>
      <c r="M62" t="s">
        <v>17</v>
      </c>
      <c r="N62" t="s">
        <v>166</v>
      </c>
      <c r="O62">
        <v>880</v>
      </c>
    </row>
    <row r="63" spans="8:15" x14ac:dyDescent="0.3">
      <c r="H63">
        <v>6</v>
      </c>
      <c r="I63" t="s">
        <v>36</v>
      </c>
      <c r="J63">
        <f>(J62-J64)*25%</f>
        <v>1625</v>
      </c>
      <c r="M63" t="s">
        <v>18</v>
      </c>
      <c r="N63" t="s">
        <v>167</v>
      </c>
      <c r="O63">
        <v>1500</v>
      </c>
    </row>
    <row r="64" spans="8:15" x14ac:dyDescent="0.3">
      <c r="H64">
        <v>7</v>
      </c>
      <c r="I64" t="s">
        <v>28</v>
      </c>
      <c r="J64">
        <f>30*20</f>
        <v>600</v>
      </c>
      <c r="M64" t="s">
        <v>19</v>
      </c>
      <c r="N64" t="s">
        <v>168</v>
      </c>
      <c r="O64">
        <v>240</v>
      </c>
    </row>
    <row r="65" spans="8:16" x14ac:dyDescent="0.3">
      <c r="H65">
        <v>8</v>
      </c>
      <c r="I65" t="s">
        <v>39</v>
      </c>
      <c r="J65">
        <f>J62*10%</f>
        <v>710</v>
      </c>
      <c r="M65" t="s">
        <v>20</v>
      </c>
      <c r="N65" t="s">
        <v>169</v>
      </c>
      <c r="O65">
        <v>350</v>
      </c>
    </row>
    <row r="66" spans="8:16" x14ac:dyDescent="0.3">
      <c r="H66">
        <v>9</v>
      </c>
      <c r="I66" t="s">
        <v>29</v>
      </c>
      <c r="J66">
        <f>SUM(J67:J68)</f>
        <v>250</v>
      </c>
      <c r="M66" t="s">
        <v>21</v>
      </c>
      <c r="N66" t="s">
        <v>170</v>
      </c>
      <c r="O66">
        <v>5985</v>
      </c>
    </row>
    <row r="67" spans="8:16" x14ac:dyDescent="0.3">
      <c r="I67" t="s">
        <v>38</v>
      </c>
      <c r="J67">
        <v>50</v>
      </c>
      <c r="M67" t="s">
        <v>22</v>
      </c>
      <c r="N67" t="s">
        <v>171</v>
      </c>
      <c r="O67">
        <v>599</v>
      </c>
    </row>
    <row r="68" spans="8:16" x14ac:dyDescent="0.3">
      <c r="I68" t="s">
        <v>37</v>
      </c>
      <c r="J68">
        <f>2*100</f>
        <v>200</v>
      </c>
      <c r="M68" t="s">
        <v>172</v>
      </c>
    </row>
    <row r="69" spans="8:16" x14ac:dyDescent="0.3">
      <c r="H69">
        <v>10</v>
      </c>
      <c r="I69" t="s">
        <v>44</v>
      </c>
      <c r="J69">
        <f>J62-J63-J65-J66</f>
        <v>4515</v>
      </c>
    </row>
    <row r="70" spans="8:16" x14ac:dyDescent="0.3">
      <c r="H70">
        <v>11</v>
      </c>
      <c r="I70" t="s">
        <v>41</v>
      </c>
      <c r="J70">
        <f>J69*10%</f>
        <v>451.5</v>
      </c>
      <c r="M70" t="s">
        <v>173</v>
      </c>
    </row>
    <row r="71" spans="8:16" x14ac:dyDescent="0.3">
      <c r="H71">
        <v>12</v>
      </c>
      <c r="I71" t="s">
        <v>42</v>
      </c>
      <c r="J71">
        <f>J62-J63-J65-J70</f>
        <v>4313.5</v>
      </c>
    </row>
    <row r="72" spans="8:16" x14ac:dyDescent="0.3">
      <c r="H72">
        <v>13</v>
      </c>
      <c r="I72" t="s">
        <v>26</v>
      </c>
      <c r="J72">
        <f>J57</f>
        <v>500</v>
      </c>
      <c r="M72" t="s">
        <v>174</v>
      </c>
    </row>
    <row r="73" spans="8:16" x14ac:dyDescent="0.3">
      <c r="H73">
        <v>14</v>
      </c>
      <c r="I73" t="s">
        <v>30</v>
      </c>
      <c r="J73">
        <v>50</v>
      </c>
      <c r="M73" t="s">
        <v>175</v>
      </c>
    </row>
    <row r="75" spans="8:16" x14ac:dyDescent="0.3">
      <c r="M75" t="s">
        <v>176</v>
      </c>
    </row>
    <row r="77" spans="8:16" x14ac:dyDescent="0.3">
      <c r="I77" t="s">
        <v>152</v>
      </c>
      <c r="M77" t="s">
        <v>177</v>
      </c>
      <c r="N77" t="s">
        <v>178</v>
      </c>
      <c r="O77" t="s">
        <v>179</v>
      </c>
      <c r="P77" t="s">
        <v>180</v>
      </c>
    </row>
    <row r="78" spans="8:16" x14ac:dyDescent="0.3">
      <c r="M78" t="s">
        <v>181</v>
      </c>
      <c r="N78" t="s">
        <v>182</v>
      </c>
      <c r="O78" t="s">
        <v>183</v>
      </c>
      <c r="P78">
        <v>0</v>
      </c>
    </row>
    <row r="79" spans="8:16" x14ac:dyDescent="0.3">
      <c r="I79" t="s">
        <v>153</v>
      </c>
      <c r="J79" t="s">
        <v>157</v>
      </c>
      <c r="L79" t="s">
        <v>158</v>
      </c>
    </row>
    <row r="80" spans="8:16" x14ac:dyDescent="0.3">
      <c r="M80" t="s">
        <v>184</v>
      </c>
      <c r="N80" t="s">
        <v>185</v>
      </c>
      <c r="O80" s="1">
        <v>1000</v>
      </c>
      <c r="P80">
        <v>0</v>
      </c>
    </row>
    <row r="81" spans="2:16" x14ac:dyDescent="0.3">
      <c r="I81" t="s">
        <v>154</v>
      </c>
      <c r="J81">
        <f>22*30</f>
        <v>660</v>
      </c>
      <c r="L81">
        <v>0</v>
      </c>
      <c r="M81" t="s">
        <v>186</v>
      </c>
      <c r="N81" t="s">
        <v>187</v>
      </c>
      <c r="O81">
        <v>810</v>
      </c>
      <c r="P81" t="s">
        <v>188</v>
      </c>
    </row>
    <row r="82" spans="2:16" x14ac:dyDescent="0.3">
      <c r="I82" t="s">
        <v>155</v>
      </c>
      <c r="J82">
        <v>1000</v>
      </c>
      <c r="M82" t="s">
        <v>189</v>
      </c>
      <c r="N82" t="s">
        <v>190</v>
      </c>
      <c r="O82">
        <v>120</v>
      </c>
      <c r="P82">
        <v>0</v>
      </c>
    </row>
    <row r="83" spans="2:16" x14ac:dyDescent="0.3">
      <c r="I83" t="s">
        <v>156</v>
      </c>
      <c r="J83">
        <f>20%*4050</f>
        <v>810</v>
      </c>
    </row>
    <row r="84" spans="2:16" x14ac:dyDescent="0.3">
      <c r="I84" t="s">
        <v>159</v>
      </c>
      <c r="J84">
        <v>120</v>
      </c>
      <c r="M84" t="s">
        <v>160</v>
      </c>
      <c r="O84">
        <v>2590</v>
      </c>
      <c r="P84">
        <v>590</v>
      </c>
    </row>
    <row r="85" spans="2:16" x14ac:dyDescent="0.3">
      <c r="I85" t="s">
        <v>160</v>
      </c>
      <c r="J85">
        <f>SUM(J81:J84)</f>
        <v>2590</v>
      </c>
      <c r="M85" t="s">
        <v>191</v>
      </c>
    </row>
    <row r="86" spans="2:16" x14ac:dyDescent="0.3">
      <c r="B86" t="s">
        <v>11</v>
      </c>
      <c r="C86" t="s">
        <v>128</v>
      </c>
    </row>
    <row r="87" spans="2:16" x14ac:dyDescent="0.3">
      <c r="M87" t="s">
        <v>192</v>
      </c>
    </row>
    <row r="88" spans="2:16" x14ac:dyDescent="0.3">
      <c r="C88" t="s">
        <v>129</v>
      </c>
      <c r="D88" s="1">
        <f>D16</f>
        <v>95000</v>
      </c>
    </row>
    <row r="89" spans="2:16" x14ac:dyDescent="0.3">
      <c r="M89" t="s">
        <v>193</v>
      </c>
    </row>
    <row r="90" spans="2:16" x14ac:dyDescent="0.3">
      <c r="C90" t="s">
        <v>130</v>
      </c>
      <c r="D90" s="1">
        <f>D19+D20+D21+D26</f>
        <v>15559</v>
      </c>
      <c r="M90" t="s">
        <v>194</v>
      </c>
    </row>
    <row r="92" spans="2:16" x14ac:dyDescent="0.3">
      <c r="C92" t="s">
        <v>131</v>
      </c>
      <c r="M92" t="s">
        <v>195</v>
      </c>
    </row>
    <row r="94" spans="2:16" x14ac:dyDescent="0.3">
      <c r="C94" t="s">
        <v>132</v>
      </c>
      <c r="D94">
        <f>14400/72</f>
        <v>200</v>
      </c>
      <c r="M94" t="s">
        <v>196</v>
      </c>
    </row>
    <row r="95" spans="2:16" x14ac:dyDescent="0.3">
      <c r="C95" s="18" t="s">
        <v>133</v>
      </c>
      <c r="D95" s="18">
        <f>D94*9</f>
        <v>1800</v>
      </c>
      <c r="M95" t="s">
        <v>197</v>
      </c>
    </row>
    <row r="96" spans="2:16" x14ac:dyDescent="0.3">
      <c r="M96" t="s">
        <v>198</v>
      </c>
    </row>
    <row r="97" spans="3:13" x14ac:dyDescent="0.3">
      <c r="C97" t="s">
        <v>134</v>
      </c>
      <c r="D97">
        <f>5%*D88</f>
        <v>4750</v>
      </c>
      <c r="M97" t="s">
        <v>199</v>
      </c>
    </row>
    <row r="98" spans="3:13" x14ac:dyDescent="0.3">
      <c r="C98" s="18" t="s">
        <v>135</v>
      </c>
      <c r="D98" s="18">
        <v>1296</v>
      </c>
      <c r="M98" t="s">
        <v>200</v>
      </c>
    </row>
    <row r="99" spans="3:13" x14ac:dyDescent="0.3">
      <c r="M99" t="s">
        <v>201</v>
      </c>
    </row>
    <row r="100" spans="3:13" x14ac:dyDescent="0.3">
      <c r="C100" t="s">
        <v>136</v>
      </c>
      <c r="D100" s="17">
        <f>2%*(D88-F100)</f>
        <v>1526.9</v>
      </c>
      <c r="F100" s="1">
        <f>D90+D95+D98</f>
        <v>18655</v>
      </c>
      <c r="M100" t="s">
        <v>202</v>
      </c>
    </row>
    <row r="101" spans="3:13" x14ac:dyDescent="0.3">
      <c r="C101" s="18" t="s">
        <v>137</v>
      </c>
      <c r="D101" s="19">
        <f>D23</f>
        <v>1000</v>
      </c>
      <c r="M101" t="s">
        <v>203</v>
      </c>
    </row>
    <row r="102" spans="3:13" x14ac:dyDescent="0.3">
      <c r="M102" t="s">
        <v>204</v>
      </c>
    </row>
    <row r="103" spans="3:13" x14ac:dyDescent="0.3">
      <c r="C103" t="s">
        <v>139</v>
      </c>
      <c r="D103" s="1">
        <f>F100+D101</f>
        <v>19655</v>
      </c>
      <c r="M103" t="s">
        <v>205</v>
      </c>
    </row>
    <row r="104" spans="3:13" x14ac:dyDescent="0.3">
      <c r="C104" t="s">
        <v>138</v>
      </c>
      <c r="D104" s="1">
        <f>D88-D103</f>
        <v>75345</v>
      </c>
    </row>
    <row r="106" spans="3:13" x14ac:dyDescent="0.3">
      <c r="C106" t="s">
        <v>65</v>
      </c>
      <c r="D106">
        <v>12</v>
      </c>
      <c r="E106">
        <v>24</v>
      </c>
    </row>
    <row r="107" spans="3:13" x14ac:dyDescent="0.3">
      <c r="D107">
        <f>D106*4050</f>
        <v>48600</v>
      </c>
      <c r="E107">
        <f>E106*4050</f>
        <v>97200</v>
      </c>
    </row>
    <row r="108" spans="3:13" x14ac:dyDescent="0.3">
      <c r="C108" t="s">
        <v>140</v>
      </c>
      <c r="D108" s="1">
        <f>D104</f>
        <v>75345</v>
      </c>
    </row>
    <row r="110" spans="3:13" x14ac:dyDescent="0.3">
      <c r="C110" t="s">
        <v>65</v>
      </c>
      <c r="D110">
        <f>D107*25%</f>
        <v>12150</v>
      </c>
    </row>
    <row r="112" spans="3:13" x14ac:dyDescent="0.3">
      <c r="C112" t="s">
        <v>64</v>
      </c>
      <c r="D112" s="12">
        <f>D104*10%</f>
        <v>7534.5</v>
      </c>
    </row>
    <row r="114" spans="3:4" x14ac:dyDescent="0.3">
      <c r="C114" t="s">
        <v>40</v>
      </c>
      <c r="D114" s="1">
        <f>D108-D110-D112</f>
        <v>55660.5</v>
      </c>
    </row>
    <row r="116" spans="3:4" x14ac:dyDescent="0.3">
      <c r="C116" t="s">
        <v>66</v>
      </c>
      <c r="D116" s="12">
        <f>D114*10%</f>
        <v>5566.05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11</vt:i4>
      </vt:variant>
    </vt:vector>
  </HeadingPairs>
  <TitlesOfParts>
    <vt:vector size="11" baseType="lpstr">
      <vt:lpstr>Activ indep</vt:lpstr>
      <vt:lpstr>Dr propr intelect</vt:lpstr>
      <vt:lpstr>Salarii</vt:lpstr>
      <vt:lpstr>Cedare folos</vt:lpstr>
      <vt:lpstr>Investitii</vt:lpstr>
      <vt:lpstr>Pensii</vt:lpstr>
      <vt:lpstr>Transf propr</vt:lpstr>
      <vt:lpstr>Alte surse</vt:lpstr>
      <vt:lpstr>Aplic 1</vt:lpstr>
      <vt:lpstr>Aplic 2</vt:lpstr>
      <vt:lpstr>Test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Dumitrescu</dc:creator>
  <cp:lastModifiedBy>Diana Dumitrescu</cp:lastModifiedBy>
  <dcterms:created xsi:type="dcterms:W3CDTF">2015-06-05T18:17:20Z</dcterms:created>
  <dcterms:modified xsi:type="dcterms:W3CDTF">2026-03-11T19:04:56Z</dcterms:modified>
</cp:coreProperties>
</file>