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ceccar\FMF 2026\2\"/>
    </mc:Choice>
  </mc:AlternateContent>
  <bookViews>
    <workbookView xWindow="0" yWindow="0" windowWidth="23040" windowHeight="9192" activeTab="4"/>
  </bookViews>
  <sheets>
    <sheet name="val in timp a banilor" sheetId="1" r:id="rId1"/>
    <sheet name="I0, val reziduala" sheetId="3" r:id="rId2"/>
    <sheet name="CMPC" sheetId="4" r:id="rId3"/>
    <sheet name="CF" sheetId="5" r:id="rId4"/>
    <sheet name="indic eval a proiectului" sheetId="2"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6" i="2" l="1"/>
  <c r="C95" i="2"/>
  <c r="C89" i="2"/>
  <c r="C87" i="2"/>
  <c r="C85" i="2"/>
  <c r="G82" i="2"/>
  <c r="G78" i="2"/>
  <c r="H78" i="2"/>
  <c r="H75" i="2"/>
  <c r="G75" i="2"/>
  <c r="H74" i="2"/>
  <c r="G74" i="2"/>
  <c r="G73" i="2"/>
  <c r="H73" i="2"/>
  <c r="H69" i="2"/>
  <c r="G69" i="2"/>
  <c r="H68" i="2"/>
  <c r="E82" i="2"/>
  <c r="F78" i="2"/>
  <c r="E78" i="2"/>
  <c r="F75" i="2"/>
  <c r="E75" i="2"/>
  <c r="F74" i="2"/>
  <c r="E74" i="2"/>
  <c r="F73" i="2"/>
  <c r="E73" i="2"/>
  <c r="F69" i="2"/>
  <c r="E69" i="2"/>
  <c r="F68" i="2"/>
  <c r="C82" i="2"/>
  <c r="D78" i="2"/>
  <c r="C78" i="2"/>
  <c r="D75" i="2"/>
  <c r="C75" i="2"/>
  <c r="D74" i="2"/>
  <c r="C74" i="2"/>
  <c r="D73" i="2"/>
  <c r="C73" i="2"/>
  <c r="D71" i="2"/>
  <c r="C71" i="2"/>
  <c r="D69" i="2"/>
  <c r="C69" i="2"/>
  <c r="G39" i="2"/>
  <c r="F39" i="2"/>
  <c r="E39" i="2"/>
  <c r="D39" i="2"/>
  <c r="G17" i="2"/>
  <c r="B73" i="5"/>
  <c r="E70" i="5"/>
  <c r="D70" i="5"/>
  <c r="C70" i="5"/>
  <c r="B70" i="5"/>
  <c r="E68" i="5"/>
  <c r="D68" i="5"/>
  <c r="C68" i="5"/>
  <c r="B68" i="5"/>
  <c r="E67" i="5"/>
  <c r="D67" i="5"/>
  <c r="C67" i="5"/>
  <c r="B67" i="5"/>
  <c r="E66" i="5"/>
  <c r="D66" i="5"/>
  <c r="C66" i="5"/>
  <c r="B66" i="5"/>
  <c r="E65" i="5"/>
  <c r="D65" i="5"/>
  <c r="C65" i="5"/>
  <c r="B65" i="5"/>
  <c r="D64" i="5"/>
  <c r="E64" i="5"/>
  <c r="C64" i="5"/>
  <c r="B64" i="5"/>
  <c r="E60" i="5"/>
  <c r="D60" i="5"/>
  <c r="C60" i="5"/>
  <c r="B60" i="5"/>
  <c r="M55" i="5"/>
  <c r="L55" i="5"/>
  <c r="J55" i="5"/>
  <c r="M54" i="5"/>
  <c r="L54" i="5"/>
  <c r="J54" i="5"/>
  <c r="M53" i="5"/>
  <c r="L53" i="5"/>
  <c r="J53" i="5"/>
  <c r="M52" i="5"/>
  <c r="L52" i="5"/>
  <c r="J52" i="5"/>
  <c r="B52" i="5"/>
  <c r="B33" i="5"/>
  <c r="F31" i="5"/>
  <c r="E31" i="5"/>
  <c r="D31" i="5"/>
  <c r="C31" i="5"/>
  <c r="B31" i="5"/>
  <c r="F29" i="5"/>
  <c r="E29" i="5"/>
  <c r="D29" i="5"/>
  <c r="C29" i="5"/>
  <c r="B29" i="5"/>
  <c r="F28" i="5"/>
  <c r="E28" i="5"/>
  <c r="D28" i="5"/>
  <c r="C28" i="5"/>
  <c r="B28" i="5"/>
  <c r="D27" i="5"/>
  <c r="E27" i="5"/>
  <c r="F27" i="5"/>
  <c r="C27" i="5"/>
  <c r="B27" i="5"/>
  <c r="D26" i="5"/>
  <c r="E26" i="5"/>
  <c r="F26" i="5"/>
  <c r="C26" i="5"/>
  <c r="B26" i="5"/>
  <c r="D25" i="5"/>
  <c r="E25" i="5"/>
  <c r="F25" i="5"/>
  <c r="C25" i="5"/>
  <c r="B25" i="5"/>
  <c r="E24" i="5"/>
  <c r="F24" i="5"/>
  <c r="D24" i="5"/>
  <c r="C24" i="5"/>
  <c r="B24" i="5"/>
  <c r="F20" i="5"/>
  <c r="C20" i="5"/>
  <c r="D20" i="5"/>
  <c r="E20" i="5"/>
  <c r="B20" i="5"/>
  <c r="C49" i="4"/>
  <c r="C47" i="4"/>
  <c r="C41" i="4"/>
  <c r="C22" i="4"/>
  <c r="B20" i="4"/>
  <c r="C18" i="4"/>
  <c r="C16" i="4"/>
  <c r="C67" i="3"/>
  <c r="B41" i="3"/>
  <c r="B15" i="3"/>
  <c r="D12" i="3"/>
  <c r="C35" i="1"/>
  <c r="C32" i="1"/>
  <c r="D22" i="1"/>
  <c r="G19" i="1"/>
  <c r="D19" i="1"/>
  <c r="C18" i="1"/>
  <c r="C8" i="1"/>
  <c r="C7" i="1"/>
  <c r="C6" i="1" l="1"/>
</calcChain>
</file>

<file path=xl/sharedStrings.xml><?xml version="1.0" encoding="utf-8"?>
<sst xmlns="http://schemas.openxmlformats.org/spreadsheetml/2006/main" count="145" uniqueCount="134">
  <si>
    <t>Costul investitiei initiale=Pretul de achizitie*Cs+Ch instalare+Ch specializare personal-Fluxul de numerar generat de scoaterea din functiune a proiectului vechi</t>
  </si>
  <si>
    <t>Fluxul de numerar generat de scoaterea din functiune a proiectului vechi= Pvz-16%*(Pvz-Valoarea neta cont)</t>
  </si>
  <si>
    <t>S0 = 100.000 lei</t>
  </si>
  <si>
    <t>k = 5% anual</t>
  </si>
  <si>
    <t>n= 4 ani</t>
  </si>
  <si>
    <t>Sf= S4 = 575000 lei</t>
  </si>
  <si>
    <t>k =10%</t>
  </si>
  <si>
    <t>CA</t>
  </si>
  <si>
    <t xml:space="preserve">S1 = S0 * (1+k)^1 = </t>
  </si>
  <si>
    <t>S2= S0*(1+k)^2=S1*(1+k)^1</t>
  </si>
  <si>
    <t>S5 = S0*(1+k)^5</t>
  </si>
  <si>
    <t>a) S0 = S4/ (1+k)^4</t>
  </si>
  <si>
    <t>aproximativ 392733</t>
  </si>
  <si>
    <t>b) S0' = 250.000</t>
  </si>
  <si>
    <t>X astfel incat sa ajung la S4</t>
  </si>
  <si>
    <t>-&gt; S4'= 250.000*(1+10%)^4</t>
  </si>
  <si>
    <t>-&gt; lipsesc 575.000- 366025</t>
  </si>
  <si>
    <t>X*(1+k)^3 = 208975</t>
  </si>
  <si>
    <t>-&gt;X = 208975/(1+10%)^3</t>
  </si>
  <si>
    <t>a) S3 = 500.000</t>
  </si>
  <si>
    <t>b) S2= 200.000</t>
  </si>
  <si>
    <t>S4 = 300.000</t>
  </si>
  <si>
    <t>k=7%</t>
  </si>
  <si>
    <t>a) S0 (a)= S3/(1+7%)^3</t>
  </si>
  <si>
    <t>b) S0(b) = S2/(1+7%)^2+S4/(1+7%)^4</t>
  </si>
  <si>
    <t>P vz liniei A = 7300</t>
  </si>
  <si>
    <t xml:space="preserve">-&gt; Fluxul de scoaterea liniei A = 7300 - 16%*( 7300- 0) = </t>
  </si>
  <si>
    <t>Investitia initiala = 243000*5,1+25000+13800 -6132</t>
  </si>
  <si>
    <t>inv amortizabile in 5 ani si se vinde dupa 5 ani -&gt; valoarea neamortizata = 0</t>
  </si>
  <si>
    <t>P vanzare = 55000</t>
  </si>
  <si>
    <t>ACR nete = 10.000 lei</t>
  </si>
  <si>
    <t>Alte cheltuieli = 0</t>
  </si>
  <si>
    <t>-&gt; VR = 55000 -16%*(55000 - 0) - 0+10000</t>
  </si>
  <si>
    <t>CF 1= 140000</t>
  </si>
  <si>
    <t>CF2= 150000</t>
  </si>
  <si>
    <t>CF3 = 180000</t>
  </si>
  <si>
    <t>CF4 = 200000</t>
  </si>
  <si>
    <t>CF din anul 5 = 200000</t>
  </si>
  <si>
    <t>k = 10%</t>
  </si>
  <si>
    <t>-&gt; VR = CF an 5/k = 200000/10%</t>
  </si>
  <si>
    <t>Investitie = 100000</t>
  </si>
  <si>
    <t>Credit = 20000</t>
  </si>
  <si>
    <t>-&gt; pondere credit</t>
  </si>
  <si>
    <t>R DAE= 10%</t>
  </si>
  <si>
    <t>k actionari = 20%</t>
  </si>
  <si>
    <t>-&gt; pondere actionari</t>
  </si>
  <si>
    <t>k creditori = 10% *(1-16%)</t>
  </si>
  <si>
    <t>k = CMPC = 20%*0.8+8,4%*0.2</t>
  </si>
  <si>
    <t>investitie = 1000000</t>
  </si>
  <si>
    <t>credit = 50%</t>
  </si>
  <si>
    <t>R DAE = 6%</t>
  </si>
  <si>
    <t>-&gt; pondere actionari = 1-50%= 50%</t>
  </si>
  <si>
    <t>-&gt; k creditori = 6%* (1-16%)</t>
  </si>
  <si>
    <t>P0 = 10 lei/actiune</t>
  </si>
  <si>
    <t>de 15 ani, acorda dividende egale cu 2 lei/actiune</t>
  </si>
  <si>
    <t>-&gt; estimez dividendele viitoare constante, egale cu 2 lei/actiune-&gt; pot folosi modelul div. constante</t>
  </si>
  <si>
    <t>k actionari = Div/P0= 2/10</t>
  </si>
  <si>
    <t>k = CMPC = 20%*50%+5.04%*50%</t>
  </si>
  <si>
    <t>finantat din fonduri proprii -&gt; nu exista credit -&gt; Ch dob = 0</t>
  </si>
  <si>
    <t>investitia = 30.000</t>
  </si>
  <si>
    <t xml:space="preserve">amort liniar in 5 ani </t>
  </si>
  <si>
    <t xml:space="preserve">-&gt; Ch amortizare = 30000/5 = 6000 anual </t>
  </si>
  <si>
    <t>Ch variabile (50%)</t>
  </si>
  <si>
    <t>CH fixe platibile</t>
  </si>
  <si>
    <t>CH amortiz</t>
  </si>
  <si>
    <t>CH dob</t>
  </si>
  <si>
    <t>RB= V tot - CH tot</t>
  </si>
  <si>
    <t>Imp pe profit=16%*RB</t>
  </si>
  <si>
    <t>RN= RB - Impozit pe profit</t>
  </si>
  <si>
    <t xml:space="preserve">CF gestiune </t>
  </si>
  <si>
    <t>D ACR nete = 36 zile= ACRnet/CA *360</t>
  </si>
  <si>
    <t>-&gt; ACR nete = CA *36/360 = CA/10</t>
  </si>
  <si>
    <t>ACR nete= CA/10</t>
  </si>
  <si>
    <t>delta ACR nete = ACR nete (an curent) - ACR nete (an precedent)</t>
  </si>
  <si>
    <t>delta ACR nete</t>
  </si>
  <si>
    <t>delta Imob brute</t>
  </si>
  <si>
    <t xml:space="preserve">CFD </t>
  </si>
  <si>
    <t>VR</t>
  </si>
  <si>
    <t xml:space="preserve">investitia initiala </t>
  </si>
  <si>
    <t>amort liniar in 4 ani</t>
  </si>
  <si>
    <t>-&gt; CH amortizarea= 600000/4=150.000 anual</t>
  </si>
  <si>
    <t>pondere credit = 1- 60%= 40%</t>
  </si>
  <si>
    <t>-&gt; Credit = 40%*600000= 240000</t>
  </si>
  <si>
    <t>An</t>
  </si>
  <si>
    <t>Dobanda</t>
  </si>
  <si>
    <t>Rata(principal)</t>
  </si>
  <si>
    <t>Anuitatea</t>
  </si>
  <si>
    <t>-&gt; Rata = 240000/4 = 60.000</t>
  </si>
  <si>
    <t>Ramas din credit</t>
  </si>
  <si>
    <t>Ch var (40%)</t>
  </si>
  <si>
    <t>Ch dobanzi</t>
  </si>
  <si>
    <t>CH amortizare</t>
  </si>
  <si>
    <t>RB</t>
  </si>
  <si>
    <t>RN=RB-16%*RB=0,84*RB</t>
  </si>
  <si>
    <t>CF gestiune</t>
  </si>
  <si>
    <t>ACRnete</t>
  </si>
  <si>
    <t>delta ACRnete</t>
  </si>
  <si>
    <t>D ACR nete = 36 zile -&gt; ACR nete = CA*36/360 = CA/10</t>
  </si>
  <si>
    <t>CFD</t>
  </si>
  <si>
    <t>P vanzare</t>
  </si>
  <si>
    <t>investitia initiala</t>
  </si>
  <si>
    <t>ROE mediu</t>
  </si>
  <si>
    <t>R dob medie</t>
  </si>
  <si>
    <t xml:space="preserve">VAN= </t>
  </si>
  <si>
    <t>-&gt; VAN&gt;0 proiectul este fezabil pentru ca se recupereaza investitia initiala si exista un excedent de numerar de 4427 lei</t>
  </si>
  <si>
    <t>a)</t>
  </si>
  <si>
    <t>IP</t>
  </si>
  <si>
    <t>A</t>
  </si>
  <si>
    <t>B</t>
  </si>
  <si>
    <t>C</t>
  </si>
  <si>
    <t>D</t>
  </si>
  <si>
    <t>-&gt; pe fiecare leu investit, incasam 1,4 lei (excedent monetar 0,4 lei)</t>
  </si>
  <si>
    <t>1. Optimist</t>
  </si>
  <si>
    <t>Ch var</t>
  </si>
  <si>
    <t>Ch fixe pl</t>
  </si>
  <si>
    <t>Ch amortiz</t>
  </si>
  <si>
    <t>Ch dob</t>
  </si>
  <si>
    <t>RN</t>
  </si>
  <si>
    <t>Cf gest</t>
  </si>
  <si>
    <t>delta imob brute</t>
  </si>
  <si>
    <t>k</t>
  </si>
  <si>
    <t>VAN</t>
  </si>
  <si>
    <t>2. Neutru</t>
  </si>
  <si>
    <t>3. Pesimist</t>
  </si>
  <si>
    <t>(ip: companie ce include doar acest proiect)</t>
  </si>
  <si>
    <t>probabilitati</t>
  </si>
  <si>
    <t>VAN mediu</t>
  </si>
  <si>
    <t>Sigma (VAN)</t>
  </si>
  <si>
    <t>sigma patrat(VAN)</t>
  </si>
  <si>
    <t>lei</t>
  </si>
  <si>
    <t>grad de incredere 95%-&gt; 1,96= z</t>
  </si>
  <si>
    <t>VAN efectiv proiect se va situa in intervalul: medie - z*sigma;medie+z*sigma</t>
  </si>
  <si>
    <t>limita inferioara</t>
  </si>
  <si>
    <t>limita superioara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</si>
</sst>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00"/>
    <numFmt numFmtId="166" formatCode="0.000%"/>
    <numFmt numFmtId="167" formatCode="0.0000%"/>
    <numFmt numFmtId="168" formatCode="0.00000%"/>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4">
    <xf numFmtId="0" fontId="0" fillId="0" borderId="0" xfId="0"/>
    <xf numFmtId="164" fontId="0" fillId="0" borderId="0" xfId="1" applyFont="1"/>
    <xf numFmtId="164" fontId="0" fillId="0" borderId="0" xfId="0" applyNumberFormat="1"/>
    <xf numFmtId="165" fontId="0" fillId="0" borderId="0" xfId="0" applyNumberFormat="1"/>
    <xf numFmtId="9" fontId="0" fillId="0" borderId="0" xfId="0" applyNumberFormat="1"/>
    <xf numFmtId="10" fontId="0" fillId="0" borderId="0" xfId="0" applyNumberFormat="1"/>
    <xf numFmtId="166" fontId="0" fillId="0" borderId="0" xfId="0" applyNumberFormat="1"/>
    <xf numFmtId="9" fontId="0" fillId="0" borderId="0" xfId="2" applyFont="1"/>
    <xf numFmtId="167" fontId="0" fillId="0" borderId="0" xfId="0" applyNumberFormat="1"/>
    <xf numFmtId="0" fontId="0" fillId="0" borderId="0" xfId="0" applyFill="1"/>
    <xf numFmtId="0" fontId="0" fillId="0" borderId="0" xfId="0" quotePrefix="1"/>
    <xf numFmtId="2" fontId="0" fillId="0" borderId="0" xfId="0" applyNumberFormat="1"/>
    <xf numFmtId="0" fontId="3" fillId="0" borderId="0" xfId="0" applyFont="1"/>
    <xf numFmtId="0" fontId="4" fillId="0" borderId="0" xfId="0" applyFont="1"/>
    <xf numFmtId="0" fontId="2" fillId="0" borderId="0" xfId="0" applyFont="1"/>
    <xf numFmtId="0" fontId="2" fillId="0" borderId="0" xfId="0" quotePrefix="1" applyFont="1"/>
    <xf numFmtId="9" fontId="2" fillId="0" borderId="0" xfId="0" applyNumberFormat="1" applyFont="1"/>
    <xf numFmtId="168" fontId="0" fillId="0" borderId="0" xfId="2" applyNumberFormat="1" applyFont="1"/>
    <xf numFmtId="2" fontId="2" fillId="0" borderId="0" xfId="0" applyNumberFormat="1" applyFont="1"/>
    <xf numFmtId="0" fontId="0" fillId="2" borderId="0" xfId="0" applyFill="1"/>
    <xf numFmtId="9" fontId="2" fillId="0" borderId="0" xfId="0" quotePrefix="1" applyNumberFormat="1" applyFont="1"/>
    <xf numFmtId="10" fontId="0" fillId="0" borderId="0" xfId="2" applyNumberFormat="1" applyFont="1"/>
    <xf numFmtId="166" fontId="0" fillId="0" borderId="0" xfId="2" applyNumberFormat="1" applyFont="1"/>
    <xf numFmtId="167" fontId="0" fillId="0" borderId="0" xfId="2"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6.png"/><Relationship Id="rId1" Type="http://schemas.openxmlformats.org/officeDocument/2006/relationships/image" Target="../media/image4.png"/><Relationship Id="rId6" Type="http://schemas.openxmlformats.org/officeDocument/2006/relationships/image" Target="../media/image12.png"/><Relationship Id="rId5" Type="http://schemas.openxmlformats.org/officeDocument/2006/relationships/image" Target="../media/image2.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image" Target="../media/image15.png"/><Relationship Id="rId7" Type="http://schemas.openxmlformats.org/officeDocument/2006/relationships/image" Target="../media/image19.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5" Type="http://schemas.openxmlformats.org/officeDocument/2006/relationships/image" Target="../media/image17.png"/><Relationship Id="rId4" Type="http://schemas.openxmlformats.org/officeDocument/2006/relationships/image" Target="../media/image16.png"/><Relationship Id="rId9"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429173</xdr:colOff>
      <xdr:row>4</xdr:row>
      <xdr:rowOff>106575</xdr:rowOff>
    </xdr:to>
    <xdr:pic>
      <xdr:nvPicPr>
        <xdr:cNvPr id="2" name="Picture 1">
          <a:extLst>
            <a:ext uri="{FF2B5EF4-FFF2-40B4-BE49-F238E27FC236}">
              <a16:creationId xmlns:a16="http://schemas.microsoft.com/office/drawing/2014/main" id="{3A92C438-6E20-FA59-7C97-4D3904C87AEB}"/>
            </a:ext>
          </a:extLst>
        </xdr:cNvPr>
        <xdr:cNvPicPr>
          <a:picLocks noChangeAspect="1"/>
        </xdr:cNvPicPr>
      </xdr:nvPicPr>
      <xdr:blipFill>
        <a:blip xmlns:r="http://schemas.openxmlformats.org/officeDocument/2006/relationships" r:embed="rId1"/>
        <a:stretch>
          <a:fillRect/>
        </a:stretch>
      </xdr:blipFill>
      <xdr:spPr>
        <a:xfrm>
          <a:off x="0" y="0"/>
          <a:ext cx="8209524" cy="838095"/>
        </a:xfrm>
        <a:prstGeom prst="rect">
          <a:avLst/>
        </a:prstGeom>
      </xdr:spPr>
    </xdr:pic>
    <xdr:clientData/>
  </xdr:twoCellAnchor>
  <xdr:twoCellAnchor>
    <xdr:from>
      <xdr:col>0</xdr:col>
      <xdr:colOff>33130</xdr:colOff>
      <xdr:row>11</xdr:row>
      <xdr:rowOff>86139</xdr:rowOff>
    </xdr:from>
    <xdr:to>
      <xdr:col>8</xdr:col>
      <xdr:colOff>278296</xdr:colOff>
      <xdr:row>16</xdr:row>
      <xdr:rowOff>172278</xdr:rowOff>
    </xdr:to>
    <xdr:sp macro="" textlink="">
      <xdr:nvSpPr>
        <xdr:cNvPr id="5" name="TextBox 4"/>
        <xdr:cNvSpPr txBox="1"/>
      </xdr:nvSpPr>
      <xdr:spPr>
        <a:xfrm>
          <a:off x="33130" y="1755913"/>
          <a:ext cx="9250018" cy="10137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b="1">
              <a:solidFill>
                <a:schemeClr val="dk1"/>
              </a:solidFill>
              <a:effectLst/>
              <a:latin typeface="+mn-lt"/>
              <a:ea typeface="+mn-ea"/>
              <a:cs typeface="+mn-cs"/>
            </a:rPr>
            <a:t>Aplicatie 2.</a:t>
          </a:r>
          <a:r>
            <a:rPr lang="ro-RO" sz="1100">
              <a:solidFill>
                <a:schemeClr val="dk1"/>
              </a:solidFill>
              <a:effectLst/>
              <a:latin typeface="+mn-lt"/>
              <a:ea typeface="+mn-ea"/>
              <a:cs typeface="+mn-cs"/>
            </a:rPr>
            <a:t> O companie plănuiește să cumpere un echipament peste 4 ani la prețul de 575.000 lei pentru a înlocui pe cel existent. Pentru aceasta dorește să facă un depozit la banca, cu o rată de dobândă anuala de 10%.</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a)</a:t>
          </a:r>
          <a:r>
            <a:rPr lang="ro-RO" sz="1100">
              <a:solidFill>
                <a:schemeClr val="dk1"/>
              </a:solidFill>
              <a:effectLst/>
              <a:latin typeface="+mn-lt"/>
              <a:ea typeface="+mn-ea"/>
              <a:cs typeface="+mn-cs"/>
            </a:rPr>
            <a:t>Ce sumă ar trebui să depună azi la bancă pentru a putea face achiziția?</a:t>
          </a:r>
          <a:endParaRPr lang="en-GB" sz="1100">
            <a:solidFill>
              <a:schemeClr val="dk1"/>
            </a:solidFill>
            <a:effectLst/>
            <a:latin typeface="+mn-lt"/>
            <a:ea typeface="+mn-ea"/>
            <a:cs typeface="+mn-cs"/>
          </a:endParaRPr>
        </a:p>
        <a:p>
          <a:pPr lvl="0"/>
          <a:r>
            <a:rPr lang="en-GB" sz="1100">
              <a:solidFill>
                <a:schemeClr val="dk1"/>
              </a:solidFill>
              <a:effectLst/>
              <a:latin typeface="+mn-lt"/>
              <a:ea typeface="+mn-ea"/>
              <a:cs typeface="+mn-cs"/>
            </a:rPr>
            <a:t>b)</a:t>
          </a:r>
          <a:r>
            <a:rPr lang="ro-RO" sz="1100">
              <a:solidFill>
                <a:schemeClr val="dk1"/>
              </a:solidFill>
              <a:effectLst/>
              <a:latin typeface="+mn-lt"/>
              <a:ea typeface="+mn-ea"/>
              <a:cs typeface="+mn-cs"/>
            </a:rPr>
            <a:t>Dacă compania poate depune azi la banca doar suma de 250.000 lei, ce sumă ar trebui să adauge anul viitor pentru a putea să facă achiziția?</a:t>
          </a:r>
          <a:endParaRPr lang="en-GB" sz="1100">
            <a:solidFill>
              <a:schemeClr val="dk1"/>
            </a:solidFill>
            <a:effectLst/>
            <a:latin typeface="+mn-lt"/>
            <a:ea typeface="+mn-ea"/>
            <a:cs typeface="+mn-cs"/>
          </a:endParaRPr>
        </a:p>
        <a:p>
          <a:endParaRPr lang="en-GB" sz="1100"/>
        </a:p>
      </xdr:txBody>
    </xdr:sp>
    <xdr:clientData/>
  </xdr:twoCellAnchor>
  <xdr:oneCellAnchor>
    <xdr:from>
      <xdr:col>0</xdr:col>
      <xdr:colOff>79513</xdr:colOff>
      <xdr:row>22</xdr:row>
      <xdr:rowOff>132522</xdr:rowOff>
    </xdr:from>
    <xdr:ext cx="184731" cy="264560"/>
    <xdr:sp macro="" textlink="">
      <xdr:nvSpPr>
        <xdr:cNvPr id="6" name="TextBox 5"/>
        <xdr:cNvSpPr txBox="1"/>
      </xdr:nvSpPr>
      <xdr:spPr>
        <a:xfrm>
          <a:off x="79513" y="34720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twoCellAnchor>
    <xdr:from>
      <xdr:col>0</xdr:col>
      <xdr:colOff>46383</xdr:colOff>
      <xdr:row>24</xdr:row>
      <xdr:rowOff>53008</xdr:rowOff>
    </xdr:from>
    <xdr:to>
      <xdr:col>7</xdr:col>
      <xdr:colOff>815009</xdr:colOff>
      <xdr:row>30</xdr:row>
      <xdr:rowOff>33131</xdr:rowOff>
    </xdr:to>
    <xdr:sp macro="" textlink="">
      <xdr:nvSpPr>
        <xdr:cNvPr id="7" name="TextBox 6"/>
        <xdr:cNvSpPr txBox="1"/>
      </xdr:nvSpPr>
      <xdr:spPr>
        <a:xfrm>
          <a:off x="46383" y="3763617"/>
          <a:ext cx="8925339" cy="10933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ro-RO" sz="1100" b="1">
              <a:solidFill>
                <a:schemeClr val="dk1"/>
              </a:solidFill>
              <a:effectLst/>
              <a:latin typeface="+mn-lt"/>
              <a:ea typeface="+mn-ea"/>
              <a:cs typeface="+mn-cs"/>
            </a:rPr>
            <a:t>Aplicatie 3.</a:t>
          </a:r>
          <a:r>
            <a:rPr lang="ro-RO" sz="1100">
              <a:solidFill>
                <a:schemeClr val="dk1"/>
              </a:solidFill>
              <a:effectLst/>
              <a:latin typeface="+mn-lt"/>
              <a:ea typeface="+mn-ea"/>
              <a:cs typeface="+mn-cs"/>
            </a:rPr>
            <a:t> O companie trebuie să plateasca o suma pentru achizitia unui utilaj și trebuie să aleagă dintre două modalități de plata, știind că rata medie de rentabilitate anuală este 7%. Cele două modalități sunt:</a:t>
          </a:r>
          <a:endParaRPr lang="en-GB" sz="1100">
            <a:solidFill>
              <a:schemeClr val="dk1"/>
            </a:solidFill>
            <a:effectLst/>
            <a:latin typeface="+mn-lt"/>
            <a:ea typeface="+mn-ea"/>
            <a:cs typeface="+mn-cs"/>
          </a:endParaRPr>
        </a:p>
        <a:p>
          <a:pPr lvl="0"/>
          <a:r>
            <a:rPr lang="ro-RO" sz="1100">
              <a:solidFill>
                <a:schemeClr val="dk1"/>
              </a:solidFill>
              <a:effectLst/>
              <a:latin typeface="+mn-lt"/>
              <a:ea typeface="+mn-ea"/>
              <a:cs typeface="+mn-cs"/>
            </a:rPr>
            <a:t>va rambursa suma de 500.000 lei peste 3 ani</a:t>
          </a:r>
          <a:r>
            <a:rPr lang="en-GB" sz="1100">
              <a:solidFill>
                <a:schemeClr val="dk1"/>
              </a:solidFill>
              <a:effectLst/>
              <a:latin typeface="+mn-lt"/>
              <a:ea typeface="+mn-ea"/>
              <a:cs typeface="+mn-cs"/>
            </a:rPr>
            <a:t>(a)</a:t>
          </a:r>
        </a:p>
        <a:p>
          <a:pPr lvl="0"/>
          <a:r>
            <a:rPr lang="ro-RO" sz="1100">
              <a:solidFill>
                <a:schemeClr val="dk1"/>
              </a:solidFill>
              <a:effectLst/>
              <a:latin typeface="+mn-lt"/>
              <a:ea typeface="+mn-ea"/>
              <a:cs typeface="+mn-cs"/>
            </a:rPr>
            <a:t>va rambursa suma de 200.000 lei peste 2 ani și suma de 300.000 lei peste 4 ani. </a:t>
          </a:r>
          <a:r>
            <a:rPr lang="en-GB" sz="1100">
              <a:solidFill>
                <a:schemeClr val="dk1"/>
              </a:solidFill>
              <a:effectLst/>
              <a:latin typeface="+mn-lt"/>
              <a:ea typeface="+mn-ea"/>
              <a:cs typeface="+mn-cs"/>
            </a:rPr>
            <a:t>(b)</a:t>
          </a:r>
        </a:p>
        <a:p>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364435</xdr:colOff>
      <xdr:row>31</xdr:row>
      <xdr:rowOff>102194</xdr:rowOff>
    </xdr:from>
    <xdr:to>
      <xdr:col>7</xdr:col>
      <xdr:colOff>706826</xdr:colOff>
      <xdr:row>34</xdr:row>
      <xdr:rowOff>62396</xdr:rowOff>
    </xdr:to>
    <xdr:pic>
      <xdr:nvPicPr>
        <xdr:cNvPr id="8" name="Picture 7">
          <a:extLst>
            <a:ext uri="{FF2B5EF4-FFF2-40B4-BE49-F238E27FC236}">
              <a16:creationId xmlns:a16="http://schemas.microsoft.com/office/drawing/2014/main" id="{7E33834B-F1E5-4CD1-89D7-B34297A73D5A}"/>
            </a:ext>
          </a:extLst>
        </xdr:cNvPr>
        <xdr:cNvPicPr>
          <a:picLocks noChangeAspect="1"/>
        </xdr:cNvPicPr>
      </xdr:nvPicPr>
      <xdr:blipFill>
        <a:blip xmlns:r="http://schemas.openxmlformats.org/officeDocument/2006/relationships" r:embed="rId1"/>
        <a:stretch>
          <a:fillRect/>
        </a:stretch>
      </xdr:blipFill>
      <xdr:spPr>
        <a:xfrm>
          <a:off x="364435" y="5853637"/>
          <a:ext cx="8089943" cy="516794"/>
        </a:xfrm>
        <a:prstGeom prst="rect">
          <a:avLst/>
        </a:prstGeom>
      </xdr:spPr>
    </xdr:pic>
    <xdr:clientData/>
  </xdr:twoCellAnchor>
  <xdr:twoCellAnchor editAs="oneCell">
    <xdr:from>
      <xdr:col>0</xdr:col>
      <xdr:colOff>0</xdr:colOff>
      <xdr:row>48</xdr:row>
      <xdr:rowOff>0</xdr:rowOff>
    </xdr:from>
    <xdr:to>
      <xdr:col>7</xdr:col>
      <xdr:colOff>481019</xdr:colOff>
      <xdr:row>55</xdr:row>
      <xdr:rowOff>6049</xdr:rowOff>
    </xdr:to>
    <xdr:pic>
      <xdr:nvPicPr>
        <xdr:cNvPr id="9" name="Picture 8">
          <a:extLst>
            <a:ext uri="{FF2B5EF4-FFF2-40B4-BE49-F238E27FC236}">
              <a16:creationId xmlns:a16="http://schemas.microsoft.com/office/drawing/2014/main" id="{71ADB977-38DC-C79D-DE11-389C58BD500C}"/>
            </a:ext>
          </a:extLst>
        </xdr:cNvPr>
        <xdr:cNvPicPr>
          <a:picLocks noChangeAspect="1"/>
        </xdr:cNvPicPr>
      </xdr:nvPicPr>
      <xdr:blipFill>
        <a:blip xmlns:r="http://schemas.openxmlformats.org/officeDocument/2006/relationships" r:embed="rId2"/>
        <a:stretch>
          <a:fillRect/>
        </a:stretch>
      </xdr:blipFill>
      <xdr:spPr>
        <a:xfrm>
          <a:off x="0" y="12435840"/>
          <a:ext cx="8222939" cy="1286209"/>
        </a:xfrm>
        <a:prstGeom prst="rect">
          <a:avLst/>
        </a:prstGeom>
      </xdr:spPr>
    </xdr:pic>
    <xdr:clientData/>
  </xdr:twoCellAnchor>
  <xdr:twoCellAnchor editAs="oneCell">
    <xdr:from>
      <xdr:col>0</xdr:col>
      <xdr:colOff>601870</xdr:colOff>
      <xdr:row>55</xdr:row>
      <xdr:rowOff>154607</xdr:rowOff>
    </xdr:from>
    <xdr:to>
      <xdr:col>4</xdr:col>
      <xdr:colOff>141874</xdr:colOff>
      <xdr:row>63</xdr:row>
      <xdr:rowOff>15355</xdr:rowOff>
    </xdr:to>
    <xdr:pic>
      <xdr:nvPicPr>
        <xdr:cNvPr id="10" name="Picture 9">
          <a:extLst>
            <a:ext uri="{FF2B5EF4-FFF2-40B4-BE49-F238E27FC236}">
              <a16:creationId xmlns:a16="http://schemas.microsoft.com/office/drawing/2014/main" id="{4BFBC216-4B61-4C1C-AB04-D1BFC01C6991}"/>
            </a:ext>
          </a:extLst>
        </xdr:cNvPr>
        <xdr:cNvPicPr>
          <a:picLocks noChangeAspect="1"/>
        </xdr:cNvPicPr>
      </xdr:nvPicPr>
      <xdr:blipFill>
        <a:blip xmlns:r="http://schemas.openxmlformats.org/officeDocument/2006/relationships" r:embed="rId3"/>
        <a:stretch>
          <a:fillRect/>
        </a:stretch>
      </xdr:blipFill>
      <xdr:spPr>
        <a:xfrm>
          <a:off x="601870" y="10399274"/>
          <a:ext cx="5293104" cy="1350881"/>
        </a:xfrm>
        <a:prstGeom prst="rect">
          <a:avLst/>
        </a:prstGeom>
      </xdr:spPr>
    </xdr:pic>
    <xdr:clientData/>
  </xdr:twoCellAnchor>
  <xdr:twoCellAnchor>
    <xdr:from>
      <xdr:col>0</xdr:col>
      <xdr:colOff>39757</xdr:colOff>
      <xdr:row>1</xdr:row>
      <xdr:rowOff>46384</xdr:rowOff>
    </xdr:from>
    <xdr:to>
      <xdr:col>8</xdr:col>
      <xdr:colOff>470452</xdr:colOff>
      <xdr:row>6</xdr:row>
      <xdr:rowOff>145775</xdr:rowOff>
    </xdr:to>
    <xdr:sp macro="" textlink="">
      <xdr:nvSpPr>
        <xdr:cNvPr id="5" name="TextBox 4"/>
        <xdr:cNvSpPr txBox="1"/>
      </xdr:nvSpPr>
      <xdr:spPr>
        <a:xfrm>
          <a:off x="39757" y="231914"/>
          <a:ext cx="8912086" cy="10270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1. </a:t>
          </a:r>
          <a:r>
            <a:rPr lang="ro-RO" sz="1100">
              <a:solidFill>
                <a:schemeClr val="dk1"/>
              </a:solidFill>
              <a:effectLst/>
              <a:latin typeface="+mn-lt"/>
              <a:ea typeface="+mn-ea"/>
              <a:cs typeface="+mn-cs"/>
            </a:rPr>
            <a:t>O companie dorește să realizeze o investiție într-o linie tehnologică pentru producerea de țigle tip B pentru care se cunosc următoarele: preț achiziție = 243.000 euro, curs schimb = </a:t>
          </a:r>
          <a:r>
            <a:rPr lang="en-GB" sz="1100">
              <a:solidFill>
                <a:schemeClr val="dk1"/>
              </a:solidFill>
              <a:effectLst/>
              <a:latin typeface="+mn-lt"/>
              <a:ea typeface="+mn-ea"/>
              <a:cs typeface="+mn-cs"/>
            </a:rPr>
            <a:t>5,1</a:t>
          </a:r>
          <a:r>
            <a:rPr lang="ro-RO" sz="1100">
              <a:solidFill>
                <a:schemeClr val="dk1"/>
              </a:solidFill>
              <a:effectLst/>
              <a:latin typeface="+mn-lt"/>
              <a:ea typeface="+mn-ea"/>
              <a:cs typeface="+mn-cs"/>
            </a:rPr>
            <a:t> euro/ron, cheltuieli instalare, montaj = 25.000 lei, cheltuieli specializare personal = 13.800 lei. Investitia se realizează pentru a înlocui o linie tehnologică veche, ce produce țigle de tip A, care se va vinde la momentul realizării investiției la prețul de 7.300 lei. Valoarea de intrare a liniei tehnologice vechi este 120.000 lei, iar valoarea amortizată cumulată este de 1</a:t>
          </a:r>
          <a:r>
            <a:rPr lang="en-GB" sz="1100">
              <a:solidFill>
                <a:schemeClr val="dk1"/>
              </a:solidFill>
              <a:effectLst/>
              <a:latin typeface="+mn-lt"/>
              <a:ea typeface="+mn-ea"/>
              <a:cs typeface="+mn-cs"/>
            </a:rPr>
            <a:t>20</a:t>
          </a:r>
          <a:r>
            <a:rPr lang="ro-RO" sz="1100">
              <a:solidFill>
                <a:schemeClr val="dk1"/>
              </a:solidFill>
              <a:effectLst/>
              <a:latin typeface="+mn-lt"/>
              <a:ea typeface="+mn-ea"/>
              <a:cs typeface="+mn-cs"/>
            </a:rPr>
            <a:t>.000 lei.</a:t>
          </a:r>
          <a:r>
            <a:rPr lang="en-GB" sz="1100">
              <a:solidFill>
                <a:schemeClr val="dk1"/>
              </a:solidFill>
              <a:effectLst/>
              <a:latin typeface="+mn-lt"/>
              <a:ea typeface="+mn-ea"/>
              <a:cs typeface="+mn-cs"/>
            </a:rPr>
            <a:t> </a:t>
          </a:r>
          <a:r>
            <a:rPr lang="ro-RO" sz="1100">
              <a:solidFill>
                <a:schemeClr val="dk1"/>
              </a:solidFill>
              <a:effectLst/>
              <a:latin typeface="+mn-lt"/>
              <a:ea typeface="+mn-ea"/>
              <a:cs typeface="+mn-cs"/>
            </a:rPr>
            <a:t>În același timp, se va renunța și la un mijloc de transport cu valoarea de 8.000 lei, complet amortizat, care va fi vândut la prețul de 3.800 lei. Determinați costul investiției făcute de companie. </a:t>
          </a:r>
          <a:endParaRPr lang="en-GB" sz="1100">
            <a:solidFill>
              <a:schemeClr val="dk1"/>
            </a:solidFill>
            <a:effectLst/>
            <a:latin typeface="+mn-lt"/>
            <a:ea typeface="+mn-ea"/>
            <a:cs typeface="+mn-cs"/>
          </a:endParaRPr>
        </a:p>
        <a:p>
          <a:endParaRPr lang="en-GB" sz="1100"/>
        </a:p>
      </xdr:txBody>
    </xdr:sp>
    <xdr:clientData/>
  </xdr:twoCellAnchor>
  <xdr:twoCellAnchor>
    <xdr:from>
      <xdr:col>0</xdr:col>
      <xdr:colOff>67733</xdr:colOff>
      <xdr:row>23</xdr:row>
      <xdr:rowOff>118534</xdr:rowOff>
    </xdr:from>
    <xdr:to>
      <xdr:col>7</xdr:col>
      <xdr:colOff>838200</xdr:colOff>
      <xdr:row>31</xdr:row>
      <xdr:rowOff>25400</xdr:rowOff>
    </xdr:to>
    <xdr:sp macro="" textlink="">
      <xdr:nvSpPr>
        <xdr:cNvPr id="11" name="TextBox 10"/>
        <xdr:cNvSpPr txBox="1"/>
      </xdr:nvSpPr>
      <xdr:spPr>
        <a:xfrm>
          <a:off x="67733" y="4402667"/>
          <a:ext cx="8398934" cy="1397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2. </a:t>
          </a:r>
          <a:r>
            <a:rPr lang="ro-RO" sz="1100">
              <a:solidFill>
                <a:schemeClr val="dk1"/>
              </a:solidFill>
              <a:effectLst/>
              <a:latin typeface="+mn-lt"/>
              <a:ea typeface="+mn-ea"/>
              <a:cs typeface="+mn-cs"/>
            </a:rPr>
            <a:t>O companie, platitoare de impozit pe profit, realizează o investiție de 200.000 lei, amortizabilă liniar în 5 ani. Aceasta va genera cash flow-uri anuale constante egale cu 60.000 lei, pe baza unei cifre de afaceri anuale de 120.000 lei. Compania doreste sa vândă acest proiect după 5 ani de la realizarea investiției inițiale, estimând un preț de vânzare de 55.000 lei pentru echipamente si valorificand si activele circulante specifice proiectului in valoare de 10.000 lei. Determinați valoarea reziduală a proiectului. </a:t>
          </a:r>
          <a:r>
            <a:rPr lang="ro-RO" sz="1100" b="1">
              <a:solidFill>
                <a:schemeClr val="dk1"/>
              </a:solidFill>
              <a:effectLst/>
              <a:latin typeface="+mn-lt"/>
              <a:ea typeface="+mn-ea"/>
              <a:cs typeface="+mn-cs"/>
            </a:rPr>
            <a:t>Dezinvestirea proiectului nu implica și alte cheltuieli</a:t>
          </a:r>
          <a:r>
            <a:rPr lang="ro-RO" sz="1100">
              <a:solidFill>
                <a:schemeClr val="dk1"/>
              </a:solidFill>
              <a:effectLst/>
              <a:latin typeface="+mn-lt"/>
              <a:ea typeface="+mn-ea"/>
              <a:cs typeface="+mn-cs"/>
            </a:rPr>
            <a:t>.</a:t>
          </a:r>
          <a:endParaRPr lang="en-GB" sz="1100">
            <a:solidFill>
              <a:schemeClr val="dk1"/>
            </a:solidFill>
            <a:effectLst/>
            <a:latin typeface="+mn-lt"/>
            <a:ea typeface="+mn-ea"/>
            <a:cs typeface="+mn-cs"/>
          </a:endParaRPr>
        </a:p>
        <a:p>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53340</xdr:colOff>
      <xdr:row>0</xdr:row>
      <xdr:rowOff>30480</xdr:rowOff>
    </xdr:from>
    <xdr:to>
      <xdr:col>7</xdr:col>
      <xdr:colOff>829612</xdr:colOff>
      <xdr:row>7</xdr:row>
      <xdr:rowOff>74624</xdr:rowOff>
    </xdr:to>
    <xdr:pic>
      <xdr:nvPicPr>
        <xdr:cNvPr id="11" name="Picture 10">
          <a:extLst>
            <a:ext uri="{FF2B5EF4-FFF2-40B4-BE49-F238E27FC236}">
              <a16:creationId xmlns:a16="http://schemas.microsoft.com/office/drawing/2014/main" id="{23C68244-DFFD-6623-9BF9-895D9EF5DACF}"/>
            </a:ext>
          </a:extLst>
        </xdr:cNvPr>
        <xdr:cNvPicPr>
          <a:picLocks noChangeAspect="1"/>
        </xdr:cNvPicPr>
      </xdr:nvPicPr>
      <xdr:blipFill>
        <a:blip xmlns:r="http://schemas.openxmlformats.org/officeDocument/2006/relationships" r:embed="rId1"/>
        <a:stretch>
          <a:fillRect/>
        </a:stretch>
      </xdr:blipFill>
      <xdr:spPr>
        <a:xfrm>
          <a:off x="53340" y="30480"/>
          <a:ext cx="8403892" cy="1324304"/>
        </a:xfrm>
        <a:prstGeom prst="rect">
          <a:avLst/>
        </a:prstGeom>
      </xdr:spPr>
    </xdr:pic>
    <xdr:clientData/>
  </xdr:twoCellAnchor>
  <xdr:twoCellAnchor editAs="oneCell">
    <xdr:from>
      <xdr:col>0</xdr:col>
      <xdr:colOff>632460</xdr:colOff>
      <xdr:row>6</xdr:row>
      <xdr:rowOff>114300</xdr:rowOff>
    </xdr:from>
    <xdr:to>
      <xdr:col>6</xdr:col>
      <xdr:colOff>294315</xdr:colOff>
      <xdr:row>12</xdr:row>
      <xdr:rowOff>97540</xdr:rowOff>
    </xdr:to>
    <xdr:pic>
      <xdr:nvPicPr>
        <xdr:cNvPr id="12" name="Picture 11">
          <a:extLst>
            <a:ext uri="{FF2B5EF4-FFF2-40B4-BE49-F238E27FC236}">
              <a16:creationId xmlns:a16="http://schemas.microsoft.com/office/drawing/2014/main" id="{0B1E8D80-D415-4440-903E-27A18527E06E}"/>
            </a:ext>
          </a:extLst>
        </xdr:cNvPr>
        <xdr:cNvPicPr>
          <a:picLocks noChangeAspect="1"/>
        </xdr:cNvPicPr>
      </xdr:nvPicPr>
      <xdr:blipFill>
        <a:blip xmlns:r="http://schemas.openxmlformats.org/officeDocument/2006/relationships" r:embed="rId2"/>
        <a:stretch>
          <a:fillRect/>
        </a:stretch>
      </xdr:blipFill>
      <xdr:spPr>
        <a:xfrm>
          <a:off x="632460" y="1211580"/>
          <a:ext cx="6679875" cy="1080520"/>
        </a:xfrm>
        <a:prstGeom prst="rect">
          <a:avLst/>
        </a:prstGeom>
      </xdr:spPr>
    </xdr:pic>
    <xdr:clientData/>
  </xdr:twoCellAnchor>
  <xdr:twoCellAnchor editAs="oneCell">
    <xdr:from>
      <xdr:col>6</xdr:col>
      <xdr:colOff>536051</xdr:colOff>
      <xdr:row>7</xdr:row>
      <xdr:rowOff>113060</xdr:rowOff>
    </xdr:from>
    <xdr:to>
      <xdr:col>11</xdr:col>
      <xdr:colOff>593395</xdr:colOff>
      <xdr:row>11</xdr:row>
      <xdr:rowOff>32271</xdr:rowOff>
    </xdr:to>
    <xdr:pic>
      <xdr:nvPicPr>
        <xdr:cNvPr id="13" name="Picture 12">
          <a:extLst>
            <a:ext uri="{FF2B5EF4-FFF2-40B4-BE49-F238E27FC236}">
              <a16:creationId xmlns:a16="http://schemas.microsoft.com/office/drawing/2014/main" id="{3BCD1CFA-B0A1-EBC9-0483-282394297707}"/>
            </a:ext>
          </a:extLst>
        </xdr:cNvPr>
        <xdr:cNvPicPr>
          <a:picLocks noChangeAspect="1"/>
        </xdr:cNvPicPr>
      </xdr:nvPicPr>
      <xdr:blipFill>
        <a:blip xmlns:r="http://schemas.openxmlformats.org/officeDocument/2006/relationships" r:embed="rId3"/>
        <a:stretch>
          <a:fillRect/>
        </a:stretch>
      </xdr:blipFill>
      <xdr:spPr>
        <a:xfrm>
          <a:off x="7554071" y="1393220"/>
          <a:ext cx="3768284" cy="650731"/>
        </a:xfrm>
        <a:prstGeom prst="rect">
          <a:avLst/>
        </a:prstGeom>
      </xdr:spPr>
    </xdr:pic>
    <xdr:clientData/>
  </xdr:twoCellAnchor>
  <xdr:twoCellAnchor editAs="oneCell">
    <xdr:from>
      <xdr:col>0</xdr:col>
      <xdr:colOff>0</xdr:colOff>
      <xdr:row>25</xdr:row>
      <xdr:rowOff>159026</xdr:rowOff>
    </xdr:from>
    <xdr:to>
      <xdr:col>7</xdr:col>
      <xdr:colOff>471510</xdr:colOff>
      <xdr:row>32</xdr:row>
      <xdr:rowOff>98408</xdr:rowOff>
    </xdr:to>
    <xdr:pic>
      <xdr:nvPicPr>
        <xdr:cNvPr id="14" name="Picture 13">
          <a:extLst>
            <a:ext uri="{FF2B5EF4-FFF2-40B4-BE49-F238E27FC236}">
              <a16:creationId xmlns:a16="http://schemas.microsoft.com/office/drawing/2014/main" id="{22D3EB2B-556D-0073-1F89-92524E37D399}"/>
            </a:ext>
          </a:extLst>
        </xdr:cNvPr>
        <xdr:cNvPicPr>
          <a:picLocks noChangeAspect="1"/>
        </xdr:cNvPicPr>
      </xdr:nvPicPr>
      <xdr:blipFill>
        <a:blip xmlns:r="http://schemas.openxmlformats.org/officeDocument/2006/relationships" r:embed="rId4"/>
        <a:stretch>
          <a:fillRect/>
        </a:stretch>
      </xdr:blipFill>
      <xdr:spPr>
        <a:xfrm>
          <a:off x="0" y="13692146"/>
          <a:ext cx="8099130" cy="1219542"/>
        </a:xfrm>
        <a:prstGeom prst="rect">
          <a:avLst/>
        </a:prstGeom>
      </xdr:spPr>
    </xdr:pic>
    <xdr:clientData/>
  </xdr:twoCellAnchor>
  <xdr:twoCellAnchor editAs="oneCell">
    <xdr:from>
      <xdr:col>0</xdr:col>
      <xdr:colOff>895516</xdr:colOff>
      <xdr:row>33</xdr:row>
      <xdr:rowOff>42075</xdr:rowOff>
    </xdr:from>
    <xdr:to>
      <xdr:col>2</xdr:col>
      <xdr:colOff>1393164</xdr:colOff>
      <xdr:row>36</xdr:row>
      <xdr:rowOff>141517</xdr:rowOff>
    </xdr:to>
    <xdr:pic>
      <xdr:nvPicPr>
        <xdr:cNvPr id="15" name="Picture 14">
          <a:extLst>
            <a:ext uri="{FF2B5EF4-FFF2-40B4-BE49-F238E27FC236}">
              <a16:creationId xmlns:a16="http://schemas.microsoft.com/office/drawing/2014/main" id="{B52075C9-1562-4DB5-B262-CC1F7CB6AE0F}"/>
            </a:ext>
          </a:extLst>
        </xdr:cNvPr>
        <xdr:cNvPicPr>
          <a:picLocks noChangeAspect="1"/>
        </xdr:cNvPicPr>
      </xdr:nvPicPr>
      <xdr:blipFill>
        <a:blip xmlns:r="http://schemas.openxmlformats.org/officeDocument/2006/relationships" r:embed="rId3"/>
        <a:stretch>
          <a:fillRect/>
        </a:stretch>
      </xdr:blipFill>
      <xdr:spPr>
        <a:xfrm>
          <a:off x="895516" y="6077115"/>
          <a:ext cx="3766628" cy="648082"/>
        </a:xfrm>
        <a:prstGeom prst="rect">
          <a:avLst/>
        </a:prstGeom>
      </xdr:spPr>
    </xdr:pic>
    <xdr:clientData/>
  </xdr:twoCellAnchor>
  <xdr:twoCellAnchor editAs="oneCell">
    <xdr:from>
      <xdr:col>7</xdr:col>
      <xdr:colOff>454547</xdr:colOff>
      <xdr:row>33</xdr:row>
      <xdr:rowOff>46052</xdr:rowOff>
    </xdr:from>
    <xdr:to>
      <xdr:col>13</xdr:col>
      <xdr:colOff>939080</xdr:colOff>
      <xdr:row>41</xdr:row>
      <xdr:rowOff>81403</xdr:rowOff>
    </xdr:to>
    <xdr:pic>
      <xdr:nvPicPr>
        <xdr:cNvPr id="16" name="Picture 15">
          <a:extLst>
            <a:ext uri="{FF2B5EF4-FFF2-40B4-BE49-F238E27FC236}">
              <a16:creationId xmlns:a16="http://schemas.microsoft.com/office/drawing/2014/main" id="{783B3572-23B5-448A-9D9F-8CEE20537C7F}"/>
            </a:ext>
          </a:extLst>
        </xdr:cNvPr>
        <xdr:cNvPicPr>
          <a:picLocks noChangeAspect="1"/>
        </xdr:cNvPicPr>
      </xdr:nvPicPr>
      <xdr:blipFill>
        <a:blip xmlns:r="http://schemas.openxmlformats.org/officeDocument/2006/relationships" r:embed="rId5"/>
        <a:stretch>
          <a:fillRect/>
        </a:stretch>
      </xdr:blipFill>
      <xdr:spPr>
        <a:xfrm>
          <a:off x="8082167" y="6081092"/>
          <a:ext cx="4805073" cy="14983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6628</xdr:colOff>
      <xdr:row>0</xdr:row>
      <xdr:rowOff>0</xdr:rowOff>
    </xdr:from>
    <xdr:to>
      <xdr:col>4</xdr:col>
      <xdr:colOff>559098</xdr:colOff>
      <xdr:row>7</xdr:row>
      <xdr:rowOff>47014</xdr:rowOff>
    </xdr:to>
    <xdr:pic>
      <xdr:nvPicPr>
        <xdr:cNvPr id="10" name="Picture 9">
          <a:extLst>
            <a:ext uri="{FF2B5EF4-FFF2-40B4-BE49-F238E27FC236}">
              <a16:creationId xmlns:a16="http://schemas.microsoft.com/office/drawing/2014/main" id="{4BFBC216-4B61-4C1C-AB04-D1BFC01C6991}"/>
            </a:ext>
          </a:extLst>
        </xdr:cNvPr>
        <xdr:cNvPicPr>
          <a:picLocks noChangeAspect="1"/>
        </xdr:cNvPicPr>
      </xdr:nvPicPr>
      <xdr:blipFill>
        <a:blip xmlns:r="http://schemas.openxmlformats.org/officeDocument/2006/relationships" r:embed="rId1"/>
        <a:stretch>
          <a:fillRect/>
        </a:stretch>
      </xdr:blipFill>
      <xdr:spPr>
        <a:xfrm>
          <a:off x="6628" y="0"/>
          <a:ext cx="5292110" cy="1327174"/>
        </a:xfrm>
        <a:prstGeom prst="rect">
          <a:avLst/>
        </a:prstGeom>
      </xdr:spPr>
    </xdr:pic>
    <xdr:clientData/>
  </xdr:twoCellAnchor>
  <xdr:twoCellAnchor editAs="oneCell">
    <xdr:from>
      <xdr:col>0</xdr:col>
      <xdr:colOff>0</xdr:colOff>
      <xdr:row>0</xdr:row>
      <xdr:rowOff>0</xdr:rowOff>
    </xdr:from>
    <xdr:to>
      <xdr:col>6</xdr:col>
      <xdr:colOff>721035</xdr:colOff>
      <xdr:row>5</xdr:row>
      <xdr:rowOff>166121</xdr:rowOff>
    </xdr:to>
    <xdr:pic>
      <xdr:nvPicPr>
        <xdr:cNvPr id="12" name="Picture 11">
          <a:extLst>
            <a:ext uri="{FF2B5EF4-FFF2-40B4-BE49-F238E27FC236}">
              <a16:creationId xmlns:a16="http://schemas.microsoft.com/office/drawing/2014/main" id="{0B1E8D80-D415-4440-903E-27A18527E06E}"/>
            </a:ext>
          </a:extLst>
        </xdr:cNvPr>
        <xdr:cNvPicPr>
          <a:picLocks noChangeAspect="1"/>
        </xdr:cNvPicPr>
      </xdr:nvPicPr>
      <xdr:blipFill>
        <a:blip xmlns:r="http://schemas.openxmlformats.org/officeDocument/2006/relationships" r:embed="rId2"/>
        <a:stretch>
          <a:fillRect/>
        </a:stretch>
      </xdr:blipFill>
      <xdr:spPr>
        <a:xfrm>
          <a:off x="0" y="1463040"/>
          <a:ext cx="6679875" cy="1080520"/>
        </a:xfrm>
        <a:prstGeom prst="rect">
          <a:avLst/>
        </a:prstGeom>
      </xdr:spPr>
    </xdr:pic>
    <xdr:clientData/>
  </xdr:twoCellAnchor>
  <xdr:twoCellAnchor editAs="oneCell">
    <xdr:from>
      <xdr:col>7</xdr:col>
      <xdr:colOff>698720</xdr:colOff>
      <xdr:row>6</xdr:row>
      <xdr:rowOff>58641</xdr:rowOff>
    </xdr:from>
    <xdr:to>
      <xdr:col>15</xdr:col>
      <xdr:colOff>698342</xdr:colOff>
      <xdr:row>18</xdr:row>
      <xdr:rowOff>11977</xdr:rowOff>
    </xdr:to>
    <xdr:pic>
      <xdr:nvPicPr>
        <xdr:cNvPr id="17" name="Picture 16">
          <a:extLst>
            <a:ext uri="{FF2B5EF4-FFF2-40B4-BE49-F238E27FC236}">
              <a16:creationId xmlns:a16="http://schemas.microsoft.com/office/drawing/2014/main" id="{1A7B5AE0-2121-7ECA-E405-377595F9994F}"/>
            </a:ext>
          </a:extLst>
        </xdr:cNvPr>
        <xdr:cNvPicPr>
          <a:picLocks noChangeAspect="1"/>
        </xdr:cNvPicPr>
      </xdr:nvPicPr>
      <xdr:blipFill>
        <a:blip xmlns:r="http://schemas.openxmlformats.org/officeDocument/2006/relationships" r:embed="rId3"/>
        <a:stretch>
          <a:fillRect/>
        </a:stretch>
      </xdr:blipFill>
      <xdr:spPr>
        <a:xfrm>
          <a:off x="7389080" y="1155921"/>
          <a:ext cx="6362322" cy="2147896"/>
        </a:xfrm>
        <a:prstGeom prst="rect">
          <a:avLst/>
        </a:prstGeom>
      </xdr:spPr>
    </xdr:pic>
    <xdr:clientData/>
  </xdr:twoCellAnchor>
  <xdr:twoCellAnchor editAs="oneCell">
    <xdr:from>
      <xdr:col>0</xdr:col>
      <xdr:colOff>0</xdr:colOff>
      <xdr:row>0</xdr:row>
      <xdr:rowOff>1</xdr:rowOff>
    </xdr:from>
    <xdr:to>
      <xdr:col>6</xdr:col>
      <xdr:colOff>671702</xdr:colOff>
      <xdr:row>10</xdr:row>
      <xdr:rowOff>165653</xdr:rowOff>
    </xdr:to>
    <xdr:pic>
      <xdr:nvPicPr>
        <xdr:cNvPr id="18" name="Picture 17">
          <a:extLst>
            <a:ext uri="{FF2B5EF4-FFF2-40B4-BE49-F238E27FC236}">
              <a16:creationId xmlns:a16="http://schemas.microsoft.com/office/drawing/2014/main" id="{04D1EA09-55EE-2F47-AD25-FBFBAB26CC5F}"/>
            </a:ext>
          </a:extLst>
        </xdr:cNvPr>
        <xdr:cNvPicPr>
          <a:picLocks noChangeAspect="1"/>
        </xdr:cNvPicPr>
      </xdr:nvPicPr>
      <xdr:blipFill>
        <a:blip xmlns:r="http://schemas.openxmlformats.org/officeDocument/2006/relationships" r:embed="rId4"/>
        <a:stretch>
          <a:fillRect/>
        </a:stretch>
      </xdr:blipFill>
      <xdr:spPr>
        <a:xfrm>
          <a:off x="0" y="7132321"/>
          <a:ext cx="6630542" cy="1994452"/>
        </a:xfrm>
        <a:prstGeom prst="rect">
          <a:avLst/>
        </a:prstGeom>
      </xdr:spPr>
    </xdr:pic>
    <xdr:clientData/>
  </xdr:twoCellAnchor>
  <xdr:twoCellAnchor editAs="oneCell">
    <xdr:from>
      <xdr:col>7</xdr:col>
      <xdr:colOff>751066</xdr:colOff>
      <xdr:row>21</xdr:row>
      <xdr:rowOff>0</xdr:rowOff>
    </xdr:from>
    <xdr:to>
      <xdr:col>14</xdr:col>
      <xdr:colOff>344716</xdr:colOff>
      <xdr:row>22</xdr:row>
      <xdr:rowOff>156003</xdr:rowOff>
    </xdr:to>
    <xdr:pic>
      <xdr:nvPicPr>
        <xdr:cNvPr id="19" name="Picture 18">
          <a:extLst>
            <a:ext uri="{FF2B5EF4-FFF2-40B4-BE49-F238E27FC236}">
              <a16:creationId xmlns:a16="http://schemas.microsoft.com/office/drawing/2014/main" id="{739B41BF-B504-4BDF-9F31-F93525E932C1}"/>
            </a:ext>
          </a:extLst>
        </xdr:cNvPr>
        <xdr:cNvPicPr>
          <a:picLocks noChangeAspect="1"/>
        </xdr:cNvPicPr>
      </xdr:nvPicPr>
      <xdr:blipFill>
        <a:blip xmlns:r="http://schemas.openxmlformats.org/officeDocument/2006/relationships" r:embed="rId5"/>
        <a:stretch>
          <a:fillRect/>
        </a:stretch>
      </xdr:blipFill>
      <xdr:spPr>
        <a:xfrm>
          <a:off x="7441426" y="3840480"/>
          <a:ext cx="5346750" cy="338883"/>
        </a:xfrm>
        <a:prstGeom prst="rect">
          <a:avLst/>
        </a:prstGeom>
      </xdr:spPr>
    </xdr:pic>
    <xdr:clientData/>
  </xdr:twoCellAnchor>
  <xdr:twoCellAnchor editAs="oneCell">
    <xdr:from>
      <xdr:col>0</xdr:col>
      <xdr:colOff>0</xdr:colOff>
      <xdr:row>35</xdr:row>
      <xdr:rowOff>106017</xdr:rowOff>
    </xdr:from>
    <xdr:to>
      <xdr:col>9</xdr:col>
      <xdr:colOff>579612</xdr:colOff>
      <xdr:row>50</xdr:row>
      <xdr:rowOff>1901</xdr:rowOff>
    </xdr:to>
    <xdr:pic>
      <xdr:nvPicPr>
        <xdr:cNvPr id="20" name="Picture 19">
          <a:extLst>
            <a:ext uri="{FF2B5EF4-FFF2-40B4-BE49-F238E27FC236}">
              <a16:creationId xmlns:a16="http://schemas.microsoft.com/office/drawing/2014/main" id="{C65BD8E9-B3B7-319E-9BB3-3DE9F0DC3291}"/>
            </a:ext>
          </a:extLst>
        </xdr:cNvPr>
        <xdr:cNvPicPr>
          <a:picLocks noChangeAspect="1"/>
        </xdr:cNvPicPr>
      </xdr:nvPicPr>
      <xdr:blipFill>
        <a:blip xmlns:r="http://schemas.openxmlformats.org/officeDocument/2006/relationships" r:embed="rId6"/>
        <a:stretch>
          <a:fillRect/>
        </a:stretch>
      </xdr:blipFill>
      <xdr:spPr>
        <a:xfrm>
          <a:off x="0" y="6785113"/>
          <a:ext cx="8657143" cy="2676190"/>
        </a:xfrm>
        <a:prstGeom prst="rect">
          <a:avLst/>
        </a:prstGeom>
      </xdr:spPr>
    </xdr:pic>
    <xdr:clientData/>
  </xdr:twoCellAnchor>
  <xdr:twoCellAnchor editAs="oneCell">
    <xdr:from>
      <xdr:col>7</xdr:col>
      <xdr:colOff>257725</xdr:colOff>
      <xdr:row>57</xdr:row>
      <xdr:rowOff>3463</xdr:rowOff>
    </xdr:from>
    <xdr:to>
      <xdr:col>14</xdr:col>
      <xdr:colOff>170724</xdr:colOff>
      <xdr:row>67</xdr:row>
      <xdr:rowOff>87283</xdr:rowOff>
    </xdr:to>
    <xdr:pic>
      <xdr:nvPicPr>
        <xdr:cNvPr id="30" name="Picture 29">
          <a:extLst>
            <a:ext uri="{FF2B5EF4-FFF2-40B4-BE49-F238E27FC236}">
              <a16:creationId xmlns:a16="http://schemas.microsoft.com/office/drawing/2014/main" id="{1A7B5AE0-2121-7ECA-E405-377595F9994F}"/>
            </a:ext>
          </a:extLst>
        </xdr:cNvPr>
        <xdr:cNvPicPr>
          <a:picLocks noChangeAspect="1"/>
        </xdr:cNvPicPr>
      </xdr:nvPicPr>
      <xdr:blipFill>
        <a:blip xmlns:r="http://schemas.openxmlformats.org/officeDocument/2006/relationships" r:embed="rId3"/>
        <a:stretch>
          <a:fillRect/>
        </a:stretch>
      </xdr:blipFill>
      <xdr:spPr>
        <a:xfrm>
          <a:off x="6949470" y="10269681"/>
          <a:ext cx="5669563" cy="1884911"/>
        </a:xfrm>
        <a:prstGeom prst="rect">
          <a:avLst/>
        </a:prstGeom>
      </xdr:spPr>
    </xdr:pic>
    <xdr:clientData/>
  </xdr:twoCellAnchor>
  <xdr:twoCellAnchor editAs="oneCell">
    <xdr:from>
      <xdr:col>7</xdr:col>
      <xdr:colOff>0</xdr:colOff>
      <xdr:row>73</xdr:row>
      <xdr:rowOff>0</xdr:rowOff>
    </xdr:from>
    <xdr:to>
      <xdr:col>13</xdr:col>
      <xdr:colOff>203250</xdr:colOff>
      <xdr:row>74</xdr:row>
      <xdr:rowOff>156003</xdr:rowOff>
    </xdr:to>
    <xdr:pic>
      <xdr:nvPicPr>
        <xdr:cNvPr id="9" name="Picture 8">
          <a:extLst>
            <a:ext uri="{FF2B5EF4-FFF2-40B4-BE49-F238E27FC236}">
              <a16:creationId xmlns:a16="http://schemas.microsoft.com/office/drawing/2014/main" id="{739B41BF-B504-4BDF-9F31-F93525E932C1}"/>
            </a:ext>
          </a:extLst>
        </xdr:cNvPr>
        <xdr:cNvPicPr>
          <a:picLocks noChangeAspect="1"/>
        </xdr:cNvPicPr>
      </xdr:nvPicPr>
      <xdr:blipFill>
        <a:blip xmlns:r="http://schemas.openxmlformats.org/officeDocument/2006/relationships" r:embed="rId5"/>
        <a:stretch>
          <a:fillRect/>
        </a:stretch>
      </xdr:blipFill>
      <xdr:spPr>
        <a:xfrm>
          <a:off x="6691745" y="13147964"/>
          <a:ext cx="5350214" cy="33611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13252</xdr:colOff>
      <xdr:row>0</xdr:row>
      <xdr:rowOff>0</xdr:rowOff>
    </xdr:from>
    <xdr:ext cx="8390476" cy="2666667"/>
    <xdr:pic>
      <xdr:nvPicPr>
        <xdr:cNvPr id="2" name="Picture 1">
          <a:extLst>
            <a:ext uri="{FF2B5EF4-FFF2-40B4-BE49-F238E27FC236}">
              <a16:creationId xmlns:a16="http://schemas.microsoft.com/office/drawing/2014/main" id="{27D88EC7-5535-D8DE-4C68-FB030CA5B13A}"/>
            </a:ext>
          </a:extLst>
        </xdr:cNvPr>
        <xdr:cNvPicPr>
          <a:picLocks noChangeAspect="1"/>
        </xdr:cNvPicPr>
      </xdr:nvPicPr>
      <xdr:blipFill>
        <a:blip xmlns:r="http://schemas.openxmlformats.org/officeDocument/2006/relationships" r:embed="rId1"/>
        <a:stretch>
          <a:fillRect/>
        </a:stretch>
      </xdr:blipFill>
      <xdr:spPr>
        <a:xfrm>
          <a:off x="13252" y="11521440"/>
          <a:ext cx="8390476" cy="2666667"/>
        </a:xfrm>
        <a:prstGeom prst="rect">
          <a:avLst/>
        </a:prstGeom>
      </xdr:spPr>
    </xdr:pic>
    <xdr:clientData/>
  </xdr:oneCellAnchor>
  <xdr:oneCellAnchor>
    <xdr:from>
      <xdr:col>12</xdr:col>
      <xdr:colOff>365760</xdr:colOff>
      <xdr:row>4</xdr:row>
      <xdr:rowOff>53340</xdr:rowOff>
    </xdr:from>
    <xdr:ext cx="4810379" cy="922020"/>
    <xdr:pic>
      <xdr:nvPicPr>
        <xdr:cNvPr id="3" name="Picture 2">
          <a:extLst>
            <a:ext uri="{FF2B5EF4-FFF2-40B4-BE49-F238E27FC236}">
              <a16:creationId xmlns:a16="http://schemas.microsoft.com/office/drawing/2014/main" id="{0B787342-DF12-4328-AA1B-4B563BA3D798}"/>
            </a:ext>
          </a:extLst>
        </xdr:cNvPr>
        <xdr:cNvPicPr>
          <a:picLocks noChangeAspect="1"/>
        </xdr:cNvPicPr>
      </xdr:nvPicPr>
      <xdr:blipFill>
        <a:blip xmlns:r="http://schemas.openxmlformats.org/officeDocument/2006/relationships" r:embed="rId2"/>
        <a:stretch>
          <a:fillRect/>
        </a:stretch>
      </xdr:blipFill>
      <xdr:spPr>
        <a:xfrm>
          <a:off x="8740140" y="784860"/>
          <a:ext cx="4810379" cy="922020"/>
        </a:xfrm>
        <a:prstGeom prst="rect">
          <a:avLst/>
        </a:prstGeom>
      </xdr:spPr>
    </xdr:pic>
    <xdr:clientData/>
  </xdr:oneCellAnchor>
  <xdr:oneCellAnchor>
    <xdr:from>
      <xdr:col>0</xdr:col>
      <xdr:colOff>0</xdr:colOff>
      <xdr:row>22</xdr:row>
      <xdr:rowOff>119269</xdr:rowOff>
    </xdr:from>
    <xdr:ext cx="8419048" cy="2495238"/>
    <xdr:pic>
      <xdr:nvPicPr>
        <xdr:cNvPr id="4" name="Picture 3">
          <a:extLst>
            <a:ext uri="{FF2B5EF4-FFF2-40B4-BE49-F238E27FC236}">
              <a16:creationId xmlns:a16="http://schemas.microsoft.com/office/drawing/2014/main" id="{6880328E-EDEC-C24B-296C-45D30018DD84}"/>
            </a:ext>
          </a:extLst>
        </xdr:cNvPr>
        <xdr:cNvPicPr>
          <a:picLocks noChangeAspect="1"/>
        </xdr:cNvPicPr>
      </xdr:nvPicPr>
      <xdr:blipFill>
        <a:blip xmlns:r="http://schemas.openxmlformats.org/officeDocument/2006/relationships" r:embed="rId3"/>
        <a:stretch>
          <a:fillRect/>
        </a:stretch>
      </xdr:blipFill>
      <xdr:spPr>
        <a:xfrm>
          <a:off x="0" y="15664069"/>
          <a:ext cx="8419048" cy="2495238"/>
        </a:xfrm>
        <a:prstGeom prst="rect">
          <a:avLst/>
        </a:prstGeom>
      </xdr:spPr>
    </xdr:pic>
    <xdr:clientData/>
  </xdr:oneCellAnchor>
  <xdr:oneCellAnchor>
    <xdr:from>
      <xdr:col>12</xdr:col>
      <xdr:colOff>278296</xdr:colOff>
      <xdr:row>30</xdr:row>
      <xdr:rowOff>141467</xdr:rowOff>
    </xdr:from>
    <xdr:ext cx="3067215" cy="748101"/>
    <xdr:pic>
      <xdr:nvPicPr>
        <xdr:cNvPr id="5" name="Picture 4">
          <a:extLst>
            <a:ext uri="{FF2B5EF4-FFF2-40B4-BE49-F238E27FC236}">
              <a16:creationId xmlns:a16="http://schemas.microsoft.com/office/drawing/2014/main" id="{483EB8F7-D753-8DA9-420E-51065CD67462}"/>
            </a:ext>
          </a:extLst>
        </xdr:cNvPr>
        <xdr:cNvPicPr>
          <a:picLocks noChangeAspect="1"/>
        </xdr:cNvPicPr>
      </xdr:nvPicPr>
      <xdr:blipFill>
        <a:blip xmlns:r="http://schemas.openxmlformats.org/officeDocument/2006/relationships" r:embed="rId4"/>
        <a:stretch>
          <a:fillRect/>
        </a:stretch>
      </xdr:blipFill>
      <xdr:spPr>
        <a:xfrm>
          <a:off x="8652676" y="5627867"/>
          <a:ext cx="3067215" cy="748101"/>
        </a:xfrm>
        <a:prstGeom prst="rect">
          <a:avLst/>
        </a:prstGeom>
      </xdr:spPr>
    </xdr:pic>
    <xdr:clientData/>
  </xdr:oneCellAnchor>
  <xdr:oneCellAnchor>
    <xdr:from>
      <xdr:col>0</xdr:col>
      <xdr:colOff>152400</xdr:colOff>
      <xdr:row>46</xdr:row>
      <xdr:rowOff>106017</xdr:rowOff>
    </xdr:from>
    <xdr:ext cx="6612835" cy="3091483"/>
    <xdr:pic>
      <xdr:nvPicPr>
        <xdr:cNvPr id="6" name="Picture 5">
          <a:extLst>
            <a:ext uri="{FF2B5EF4-FFF2-40B4-BE49-F238E27FC236}">
              <a16:creationId xmlns:a16="http://schemas.microsoft.com/office/drawing/2014/main" id="{B75F7F3F-FFB0-4E45-B7C7-935F6970C9BE}"/>
            </a:ext>
          </a:extLst>
        </xdr:cNvPr>
        <xdr:cNvPicPr>
          <a:picLocks noChangeAspect="1"/>
        </xdr:cNvPicPr>
      </xdr:nvPicPr>
      <xdr:blipFill>
        <a:blip xmlns:r="http://schemas.openxmlformats.org/officeDocument/2006/relationships" r:embed="rId5"/>
        <a:stretch>
          <a:fillRect/>
        </a:stretch>
      </xdr:blipFill>
      <xdr:spPr>
        <a:xfrm>
          <a:off x="152400" y="18942657"/>
          <a:ext cx="6612835" cy="3091483"/>
        </a:xfrm>
        <a:prstGeom prst="rect">
          <a:avLst/>
        </a:prstGeom>
      </xdr:spPr>
    </xdr:pic>
    <xdr:clientData/>
  </xdr:oneCellAnchor>
  <xdr:oneCellAnchor>
    <xdr:from>
      <xdr:col>14</xdr:col>
      <xdr:colOff>475090</xdr:colOff>
      <xdr:row>48</xdr:row>
      <xdr:rowOff>171948</xdr:rowOff>
    </xdr:from>
    <xdr:ext cx="3296810" cy="410392"/>
    <xdr:pic>
      <xdr:nvPicPr>
        <xdr:cNvPr id="7" name="Picture 6">
          <a:extLst>
            <a:ext uri="{FF2B5EF4-FFF2-40B4-BE49-F238E27FC236}">
              <a16:creationId xmlns:a16="http://schemas.microsoft.com/office/drawing/2014/main" id="{883129A2-6F14-6208-8F35-813472081D03}"/>
            </a:ext>
          </a:extLst>
        </xdr:cNvPr>
        <xdr:cNvPicPr>
          <a:picLocks noChangeAspect="1"/>
        </xdr:cNvPicPr>
      </xdr:nvPicPr>
      <xdr:blipFill>
        <a:blip xmlns:r="http://schemas.openxmlformats.org/officeDocument/2006/relationships" r:embed="rId6"/>
        <a:stretch>
          <a:fillRect/>
        </a:stretch>
      </xdr:blipFill>
      <xdr:spPr>
        <a:xfrm>
          <a:off x="9291430" y="8950188"/>
          <a:ext cx="3296810" cy="410392"/>
        </a:xfrm>
        <a:prstGeom prst="rect">
          <a:avLst/>
        </a:prstGeom>
      </xdr:spPr>
    </xdr:pic>
    <xdr:clientData/>
  </xdr:oneCellAnchor>
  <xdr:oneCellAnchor>
    <xdr:from>
      <xdr:col>13</xdr:col>
      <xdr:colOff>502921</xdr:colOff>
      <xdr:row>53</xdr:row>
      <xdr:rowOff>110987</xdr:rowOff>
    </xdr:from>
    <xdr:ext cx="4549828" cy="1108712"/>
    <xdr:pic>
      <xdr:nvPicPr>
        <xdr:cNvPr id="8" name="Picture 7">
          <a:extLst>
            <a:ext uri="{FF2B5EF4-FFF2-40B4-BE49-F238E27FC236}">
              <a16:creationId xmlns:a16="http://schemas.microsoft.com/office/drawing/2014/main" id="{D2EE3B0B-64E3-4D31-AD02-65F20B30C0BD}"/>
            </a:ext>
          </a:extLst>
        </xdr:cNvPr>
        <xdr:cNvPicPr>
          <a:picLocks noChangeAspect="1"/>
        </xdr:cNvPicPr>
      </xdr:nvPicPr>
      <xdr:blipFill>
        <a:blip xmlns:r="http://schemas.openxmlformats.org/officeDocument/2006/relationships" r:embed="rId7"/>
        <a:stretch>
          <a:fillRect/>
        </a:stretch>
      </xdr:blipFill>
      <xdr:spPr>
        <a:xfrm>
          <a:off x="8427721" y="9803627"/>
          <a:ext cx="4549828" cy="1108712"/>
        </a:xfrm>
        <a:prstGeom prst="rect">
          <a:avLst/>
        </a:prstGeom>
      </xdr:spPr>
    </xdr:pic>
    <xdr:clientData/>
  </xdr:oneCellAnchor>
  <xdr:oneCellAnchor>
    <xdr:from>
      <xdr:col>10</xdr:col>
      <xdr:colOff>106680</xdr:colOff>
      <xdr:row>88</xdr:row>
      <xdr:rowOff>68580</xdr:rowOff>
    </xdr:from>
    <xdr:ext cx="5351353" cy="463483"/>
    <xdr:pic>
      <xdr:nvPicPr>
        <xdr:cNvPr id="9" name="Picture 8">
          <a:extLst>
            <a:ext uri="{FF2B5EF4-FFF2-40B4-BE49-F238E27FC236}">
              <a16:creationId xmlns:a16="http://schemas.microsoft.com/office/drawing/2014/main" id="{7CEDA0E5-10BE-4BA9-9BE3-B630D630C255}"/>
            </a:ext>
          </a:extLst>
        </xdr:cNvPr>
        <xdr:cNvPicPr>
          <a:picLocks noChangeAspect="1"/>
        </xdr:cNvPicPr>
      </xdr:nvPicPr>
      <xdr:blipFill>
        <a:blip xmlns:r="http://schemas.openxmlformats.org/officeDocument/2006/relationships" r:embed="rId8"/>
        <a:stretch>
          <a:fillRect/>
        </a:stretch>
      </xdr:blipFill>
      <xdr:spPr>
        <a:xfrm>
          <a:off x="7261860" y="16527780"/>
          <a:ext cx="5351353" cy="463483"/>
        </a:xfrm>
        <a:prstGeom prst="rect">
          <a:avLst/>
        </a:prstGeom>
      </xdr:spPr>
    </xdr:pic>
    <xdr:clientData/>
  </xdr:oneCellAnchor>
  <xdr:oneCellAnchor>
    <xdr:from>
      <xdr:col>10</xdr:col>
      <xdr:colOff>22168</xdr:colOff>
      <xdr:row>67</xdr:row>
      <xdr:rowOff>56804</xdr:rowOff>
    </xdr:from>
    <xdr:ext cx="4944375" cy="1383661"/>
    <xdr:pic>
      <xdr:nvPicPr>
        <xdr:cNvPr id="10" name="Picture 9">
          <a:extLst>
            <a:ext uri="{FF2B5EF4-FFF2-40B4-BE49-F238E27FC236}">
              <a16:creationId xmlns:a16="http://schemas.microsoft.com/office/drawing/2014/main" id="{AD12B4A1-AA93-4CB6-9BA6-5DCAAF572F26}"/>
            </a:ext>
          </a:extLst>
        </xdr:cNvPr>
        <xdr:cNvPicPr>
          <a:picLocks noChangeAspect="1"/>
        </xdr:cNvPicPr>
      </xdr:nvPicPr>
      <xdr:blipFill>
        <a:blip xmlns:r="http://schemas.openxmlformats.org/officeDocument/2006/relationships" r:embed="rId9"/>
        <a:stretch>
          <a:fillRect/>
        </a:stretch>
      </xdr:blipFill>
      <xdr:spPr>
        <a:xfrm>
          <a:off x="7441277" y="12124113"/>
          <a:ext cx="4944375" cy="1383661"/>
        </a:xfrm>
        <a:prstGeom prst="rect">
          <a:avLst/>
        </a:prstGeom>
      </xdr:spPr>
    </xdr:pic>
    <xdr:clientData/>
  </xdr:oneCellAnchor>
  <xdr:oneCellAnchor>
    <xdr:from>
      <xdr:col>10</xdr:col>
      <xdr:colOff>160590</xdr:colOff>
      <xdr:row>76</xdr:row>
      <xdr:rowOff>3464</xdr:rowOff>
    </xdr:from>
    <xdr:ext cx="3296810" cy="410392"/>
    <xdr:pic>
      <xdr:nvPicPr>
        <xdr:cNvPr id="11" name="Picture 10">
          <a:extLst>
            <a:ext uri="{FF2B5EF4-FFF2-40B4-BE49-F238E27FC236}">
              <a16:creationId xmlns:a16="http://schemas.microsoft.com/office/drawing/2014/main" id="{883129A2-6F14-6208-8F35-813472081D03}"/>
            </a:ext>
          </a:extLst>
        </xdr:cNvPr>
        <xdr:cNvPicPr>
          <a:picLocks noChangeAspect="1"/>
        </xdr:cNvPicPr>
      </xdr:nvPicPr>
      <xdr:blipFill>
        <a:blip xmlns:r="http://schemas.openxmlformats.org/officeDocument/2006/relationships" r:embed="rId6"/>
        <a:stretch>
          <a:fillRect/>
        </a:stretch>
      </xdr:blipFill>
      <xdr:spPr>
        <a:xfrm>
          <a:off x="7461935" y="13691755"/>
          <a:ext cx="3296810" cy="410392"/>
        </a:xfrm>
        <a:prstGeom prst="rect">
          <a:avLst/>
        </a:prstGeom>
      </xdr:spPr>
    </xdr:pic>
    <xdr:clientData/>
  </xdr:oneCellAnchor>
  <xdr:oneCellAnchor>
    <xdr:from>
      <xdr:col>10</xdr:col>
      <xdr:colOff>15933</xdr:colOff>
      <xdr:row>80</xdr:row>
      <xdr:rowOff>6234</xdr:rowOff>
    </xdr:from>
    <xdr:ext cx="4549828" cy="1108712"/>
    <xdr:pic>
      <xdr:nvPicPr>
        <xdr:cNvPr id="12" name="Picture 11">
          <a:extLst>
            <a:ext uri="{FF2B5EF4-FFF2-40B4-BE49-F238E27FC236}">
              <a16:creationId xmlns:a16="http://schemas.microsoft.com/office/drawing/2014/main" id="{D2EE3B0B-64E3-4D31-AD02-65F20B30C0BD}"/>
            </a:ext>
          </a:extLst>
        </xdr:cNvPr>
        <xdr:cNvPicPr>
          <a:picLocks noChangeAspect="1"/>
        </xdr:cNvPicPr>
      </xdr:nvPicPr>
      <xdr:blipFill>
        <a:blip xmlns:r="http://schemas.openxmlformats.org/officeDocument/2006/relationships" r:embed="rId7"/>
        <a:stretch>
          <a:fillRect/>
        </a:stretch>
      </xdr:blipFill>
      <xdr:spPr>
        <a:xfrm>
          <a:off x="7317278" y="14414961"/>
          <a:ext cx="4549828" cy="110871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36"/>
  <sheetViews>
    <sheetView topLeftCell="A21" zoomScale="115" zoomScaleNormal="115" workbookViewId="0">
      <selection activeCell="B37" sqref="B37"/>
    </sheetView>
  </sheetViews>
  <sheetFormatPr defaultRowHeight="14.4" x14ac:dyDescent="0.3"/>
  <cols>
    <col min="1" max="1" width="21.88671875" customWidth="1"/>
    <col min="2" max="2" width="25.77734375" customWidth="1"/>
    <col min="3" max="3" width="23.33203125" customWidth="1"/>
    <col min="4" max="4" width="14.5546875" customWidth="1"/>
    <col min="5" max="5" width="16.5546875" bestFit="1" customWidth="1"/>
    <col min="6" max="6" width="11.21875" customWidth="1"/>
    <col min="8" max="8" width="12.33203125" customWidth="1"/>
    <col min="9" max="9" width="13.33203125" bestFit="1" customWidth="1"/>
    <col min="11" max="11" width="10.6640625" customWidth="1"/>
    <col min="14" max="14" width="13.88671875" bestFit="1" customWidth="1"/>
  </cols>
  <sheetData>
    <row r="6" spans="1:5" x14ac:dyDescent="0.3">
      <c r="A6" t="s">
        <v>2</v>
      </c>
      <c r="B6" t="s">
        <v>8</v>
      </c>
      <c r="C6">
        <f>100000*(1+5%)</f>
        <v>105000</v>
      </c>
      <c r="E6" s="1"/>
    </row>
    <row r="7" spans="1:5" x14ac:dyDescent="0.3">
      <c r="A7" t="s">
        <v>3</v>
      </c>
      <c r="B7" t="s">
        <v>9</v>
      </c>
      <c r="C7">
        <f>100000*(1+5%)^2</f>
        <v>110250</v>
      </c>
      <c r="E7" s="1"/>
    </row>
    <row r="8" spans="1:5" x14ac:dyDescent="0.3">
      <c r="B8" t="s">
        <v>10</v>
      </c>
      <c r="C8">
        <f>100000*(1+5%)^5</f>
        <v>127628.15625000001</v>
      </c>
      <c r="E8" s="1"/>
    </row>
    <row r="9" spans="1:5" x14ac:dyDescent="0.3">
      <c r="E9" s="1"/>
    </row>
    <row r="10" spans="1:5" x14ac:dyDescent="0.3">
      <c r="D10" s="1"/>
    </row>
    <row r="18" spans="1:9" x14ac:dyDescent="0.3">
      <c r="A18" t="s">
        <v>4</v>
      </c>
      <c r="B18" t="s">
        <v>11</v>
      </c>
      <c r="C18">
        <f>575000/(1+10%)^4</f>
        <v>392732.73683491553</v>
      </c>
      <c r="D18" t="s">
        <v>12</v>
      </c>
    </row>
    <row r="19" spans="1:9" x14ac:dyDescent="0.3">
      <c r="A19" t="s">
        <v>5</v>
      </c>
      <c r="B19" t="s">
        <v>13</v>
      </c>
      <c r="C19" s="10" t="s">
        <v>15</v>
      </c>
      <c r="D19">
        <f>250000*(1+10%)^4</f>
        <v>366025.00000000012</v>
      </c>
      <c r="E19" s="10" t="s">
        <v>16</v>
      </c>
      <c r="G19" s="19">
        <f>575000-366025</f>
        <v>208975</v>
      </c>
    </row>
    <row r="20" spans="1:9" x14ac:dyDescent="0.3">
      <c r="A20" t="s">
        <v>6</v>
      </c>
      <c r="B20" t="s">
        <v>14</v>
      </c>
      <c r="E20" s="10"/>
    </row>
    <row r="21" spans="1:9" x14ac:dyDescent="0.3">
      <c r="C21" t="s">
        <v>17</v>
      </c>
      <c r="D21" s="10" t="s">
        <v>18</v>
      </c>
      <c r="E21" s="10"/>
    </row>
    <row r="22" spans="1:9" x14ac:dyDescent="0.3">
      <c r="D22">
        <f>208975/(1+10%)^3</f>
        <v>157006.01051840716</v>
      </c>
      <c r="E22" s="10"/>
    </row>
    <row r="23" spans="1:9" x14ac:dyDescent="0.3">
      <c r="D23" s="1"/>
      <c r="G23" s="10"/>
      <c r="I23" s="10"/>
    </row>
    <row r="24" spans="1:9" x14ac:dyDescent="0.3">
      <c r="C24" s="10"/>
      <c r="D24" s="1"/>
    </row>
    <row r="25" spans="1:9" x14ac:dyDescent="0.3">
      <c r="D25" s="1"/>
      <c r="I25" s="10"/>
    </row>
    <row r="26" spans="1:9" x14ac:dyDescent="0.3">
      <c r="D26" s="2"/>
      <c r="I26" s="11"/>
    </row>
    <row r="32" spans="1:9" x14ac:dyDescent="0.3">
      <c r="A32" t="s">
        <v>19</v>
      </c>
      <c r="B32" t="s">
        <v>23</v>
      </c>
      <c r="C32">
        <f>500000/1.07^3</f>
        <v>408148.93844542594</v>
      </c>
    </row>
    <row r="33" spans="1:3" x14ac:dyDescent="0.3">
      <c r="A33" t="s">
        <v>20</v>
      </c>
    </row>
    <row r="34" spans="1:3" x14ac:dyDescent="0.3">
      <c r="A34" t="s">
        <v>21</v>
      </c>
      <c r="B34" t="s">
        <v>24</v>
      </c>
    </row>
    <row r="35" spans="1:3" x14ac:dyDescent="0.3">
      <c r="C35">
        <f>200000/1.07^2+300000/1.07^4</f>
        <v>403556.30926889984</v>
      </c>
    </row>
    <row r="36" spans="1:3" x14ac:dyDescent="0.3">
      <c r="A36" t="s">
        <v>22</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N97"/>
  <sheetViews>
    <sheetView topLeftCell="A49" zoomScale="120" zoomScaleNormal="120" workbookViewId="0">
      <selection activeCell="B68" sqref="B68"/>
    </sheetView>
  </sheetViews>
  <sheetFormatPr defaultRowHeight="14.4" x14ac:dyDescent="0.3"/>
  <cols>
    <col min="1" max="1" width="21.88671875" customWidth="1"/>
    <col min="2" max="2" width="27.44140625" customWidth="1"/>
    <col min="3" max="3" width="23.33203125" customWidth="1"/>
    <col min="4" max="4" width="11.21875" bestFit="1" customWidth="1"/>
    <col min="6" max="6" width="11.21875" customWidth="1"/>
    <col min="8" max="8" width="12.33203125" customWidth="1"/>
    <col min="9" max="9" width="13.33203125" bestFit="1" customWidth="1"/>
    <col min="11" max="11" width="10.6640625" customWidth="1"/>
    <col min="14" max="14" width="13.88671875" bestFit="1" customWidth="1"/>
  </cols>
  <sheetData>
    <row r="9" spans="1:14" x14ac:dyDescent="0.3">
      <c r="A9" t="s">
        <v>0</v>
      </c>
    </row>
    <row r="10" spans="1:14" x14ac:dyDescent="0.3">
      <c r="A10" t="s">
        <v>1</v>
      </c>
    </row>
    <row r="12" spans="1:14" x14ac:dyDescent="0.3">
      <c r="A12" t="s">
        <v>25</v>
      </c>
      <c r="B12" s="10" t="s">
        <v>26</v>
      </c>
      <c r="D12">
        <f>7300-16%*7300</f>
        <v>6132</v>
      </c>
    </row>
    <row r="13" spans="1:14" x14ac:dyDescent="0.3">
      <c r="N13" s="1"/>
    </row>
    <row r="14" spans="1:14" x14ac:dyDescent="0.3">
      <c r="A14" t="s">
        <v>27</v>
      </c>
      <c r="N14" s="5"/>
    </row>
    <row r="15" spans="1:14" x14ac:dyDescent="0.3">
      <c r="B15">
        <f xml:space="preserve"> 243000*5.1+25000+13800 -6132</f>
        <v>1271968</v>
      </c>
      <c r="N15" s="5"/>
    </row>
    <row r="16" spans="1:14" x14ac:dyDescent="0.3">
      <c r="N16" s="5"/>
    </row>
    <row r="17" spans="3:14" x14ac:dyDescent="0.3">
      <c r="C17" s="11"/>
      <c r="N17" s="5"/>
    </row>
    <row r="18" spans="3:14" x14ac:dyDescent="0.3">
      <c r="C18" s="1"/>
      <c r="E18" s="10"/>
      <c r="N18" s="5"/>
    </row>
    <row r="19" spans="3:14" x14ac:dyDescent="0.3">
      <c r="N19" s="5"/>
    </row>
    <row r="20" spans="3:14" x14ac:dyDescent="0.3">
      <c r="N20" s="5"/>
    </row>
    <row r="21" spans="3:14" x14ac:dyDescent="0.3">
      <c r="N21" s="5"/>
    </row>
    <row r="22" spans="3:14" x14ac:dyDescent="0.3">
      <c r="N22" s="5"/>
    </row>
    <row r="29" spans="3:14" x14ac:dyDescent="0.3">
      <c r="I29" s="10"/>
    </row>
    <row r="37" spans="1:8" x14ac:dyDescent="0.3">
      <c r="A37" t="s">
        <v>28</v>
      </c>
      <c r="C37" s="10"/>
      <c r="D37" s="10"/>
      <c r="G37" s="10"/>
    </row>
    <row r="38" spans="1:8" x14ac:dyDescent="0.3">
      <c r="B38" s="1"/>
    </row>
    <row r="39" spans="1:8" x14ac:dyDescent="0.3">
      <c r="A39" t="s">
        <v>29</v>
      </c>
    </row>
    <row r="40" spans="1:8" x14ac:dyDescent="0.3">
      <c r="A40" t="s">
        <v>30</v>
      </c>
      <c r="B40" s="10" t="s">
        <v>32</v>
      </c>
    </row>
    <row r="41" spans="1:8" x14ac:dyDescent="0.3">
      <c r="A41" t="s">
        <v>31</v>
      </c>
      <c r="B41">
        <f xml:space="preserve"> 55000 -16%*(55000 - 0) - 0+10000</f>
        <v>56200</v>
      </c>
      <c r="H41" s="10"/>
    </row>
    <row r="44" spans="1:8" s="9" customFormat="1" x14ac:dyDescent="0.3"/>
    <row r="45" spans="1:8" x14ac:dyDescent="0.3">
      <c r="B45" s="10"/>
      <c r="D45" s="10"/>
    </row>
    <row r="57" spans="2:5" x14ac:dyDescent="0.3">
      <c r="B57" s="1"/>
    </row>
    <row r="58" spans="2:5" x14ac:dyDescent="0.3">
      <c r="E58" s="4"/>
    </row>
    <row r="66" spans="1:3" x14ac:dyDescent="0.3">
      <c r="A66" t="s">
        <v>33</v>
      </c>
    </row>
    <row r="67" spans="1:3" x14ac:dyDescent="0.3">
      <c r="A67" t="s">
        <v>34</v>
      </c>
      <c r="B67" s="10" t="s">
        <v>39</v>
      </c>
      <c r="C67">
        <f>200000/10%</f>
        <v>2000000</v>
      </c>
    </row>
    <row r="68" spans="1:3" x14ac:dyDescent="0.3">
      <c r="A68" t="s">
        <v>35</v>
      </c>
    </row>
    <row r="69" spans="1:3" x14ac:dyDescent="0.3">
      <c r="A69" t="s">
        <v>36</v>
      </c>
    </row>
    <row r="70" spans="1:3" x14ac:dyDescent="0.3">
      <c r="A70" t="s">
        <v>37</v>
      </c>
    </row>
    <row r="71" spans="1:3" x14ac:dyDescent="0.3">
      <c r="A71" t="s">
        <v>38</v>
      </c>
    </row>
    <row r="82" spans="2:2" x14ac:dyDescent="0.3">
      <c r="B82" s="4"/>
    </row>
    <row r="83" spans="2:2" x14ac:dyDescent="0.3">
      <c r="B83" s="6"/>
    </row>
    <row r="84" spans="2:2" x14ac:dyDescent="0.3">
      <c r="B84" s="7"/>
    </row>
    <row r="85" spans="2:2" x14ac:dyDescent="0.3">
      <c r="B85" s="4"/>
    </row>
    <row r="86" spans="2:2" x14ac:dyDescent="0.3">
      <c r="B86" s="5"/>
    </row>
    <row r="95" spans="2:2" x14ac:dyDescent="0.3">
      <c r="B95" s="8"/>
    </row>
    <row r="96" spans="2:2" x14ac:dyDescent="0.3">
      <c r="B96" s="7"/>
    </row>
    <row r="97" spans="2:2" x14ac:dyDescent="0.3">
      <c r="B97" s="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5:E49"/>
  <sheetViews>
    <sheetView topLeftCell="A25" zoomScaleNormal="100" workbookViewId="0">
      <selection activeCell="C49" sqref="C49"/>
    </sheetView>
  </sheetViews>
  <sheetFormatPr defaultRowHeight="14.4" x14ac:dyDescent="0.3"/>
  <cols>
    <col min="1" max="1" width="21.88671875" customWidth="1"/>
    <col min="2" max="2" width="25.77734375" customWidth="1"/>
    <col min="3" max="3" width="23.33203125" customWidth="1"/>
    <col min="4" max="4" width="11.21875" bestFit="1" customWidth="1"/>
    <col min="6" max="6" width="11.21875" customWidth="1"/>
    <col min="8" max="8" width="12.33203125" customWidth="1"/>
    <col min="9" max="9" width="13.33203125" bestFit="1" customWidth="1"/>
    <col min="11" max="11" width="10.6640625" customWidth="1"/>
    <col min="14" max="14" width="13.88671875" bestFit="1" customWidth="1"/>
  </cols>
  <sheetData>
    <row r="15" spans="1:3" x14ac:dyDescent="0.3">
      <c r="A15" t="s">
        <v>40</v>
      </c>
    </row>
    <row r="16" spans="1:3" x14ac:dyDescent="0.3">
      <c r="A16" t="s">
        <v>41</v>
      </c>
      <c r="B16" s="10" t="s">
        <v>42</v>
      </c>
      <c r="C16">
        <f>20000/100000</f>
        <v>0.2</v>
      </c>
    </row>
    <row r="17" spans="1:5" x14ac:dyDescent="0.3">
      <c r="A17" t="s">
        <v>43</v>
      </c>
    </row>
    <row r="18" spans="1:5" x14ac:dyDescent="0.3">
      <c r="A18" s="15" t="s">
        <v>44</v>
      </c>
      <c r="B18" s="20" t="s">
        <v>45</v>
      </c>
      <c r="C18" s="15">
        <f>1-C16</f>
        <v>0.8</v>
      </c>
      <c r="D18" s="16"/>
    </row>
    <row r="20" spans="1:5" x14ac:dyDescent="0.3">
      <c r="A20" t="s">
        <v>46</v>
      </c>
      <c r="B20" s="22">
        <f>10%*(1-16%)</f>
        <v>8.4000000000000005E-2</v>
      </c>
    </row>
    <row r="21" spans="1:5" x14ac:dyDescent="0.3">
      <c r="B21" s="4"/>
      <c r="C21" s="17"/>
    </row>
    <row r="22" spans="1:5" x14ac:dyDescent="0.3">
      <c r="B22" s="6" t="s">
        <v>47</v>
      </c>
      <c r="C22" s="23">
        <f xml:space="preserve"> 20%*0.8+8.4%*0.2</f>
        <v>0.17680000000000004</v>
      </c>
      <c r="E22" s="8"/>
    </row>
    <row r="23" spans="1:5" x14ac:dyDescent="0.3">
      <c r="B23" s="7"/>
    </row>
    <row r="24" spans="1:5" x14ac:dyDescent="0.3">
      <c r="B24" s="4"/>
    </row>
    <row r="25" spans="1:5" x14ac:dyDescent="0.3">
      <c r="B25" s="5"/>
    </row>
    <row r="34" spans="1:3" x14ac:dyDescent="0.3">
      <c r="B34" s="8"/>
    </row>
    <row r="35" spans="1:3" x14ac:dyDescent="0.3">
      <c r="B35" s="7"/>
    </row>
    <row r="36" spans="1:3" x14ac:dyDescent="0.3">
      <c r="B36" s="8"/>
    </row>
    <row r="39" spans="1:3" x14ac:dyDescent="0.3">
      <c r="A39" t="s">
        <v>48</v>
      </c>
    </row>
    <row r="40" spans="1:3" x14ac:dyDescent="0.3">
      <c r="A40" t="s">
        <v>49</v>
      </c>
      <c r="B40" s="10" t="s">
        <v>51</v>
      </c>
    </row>
    <row r="41" spans="1:3" x14ac:dyDescent="0.3">
      <c r="A41" t="s">
        <v>50</v>
      </c>
      <c r="B41" s="10" t="s">
        <v>52</v>
      </c>
      <c r="C41" s="22">
        <f xml:space="preserve"> 6%* (1-16%)</f>
        <v>5.0399999999999993E-2</v>
      </c>
    </row>
    <row r="43" spans="1:3" x14ac:dyDescent="0.3">
      <c r="A43" t="s">
        <v>53</v>
      </c>
    </row>
    <row r="44" spans="1:3" x14ac:dyDescent="0.3">
      <c r="A44" t="s">
        <v>54</v>
      </c>
    </row>
    <row r="45" spans="1:3" x14ac:dyDescent="0.3">
      <c r="B45" s="10" t="s">
        <v>55</v>
      </c>
    </row>
    <row r="47" spans="1:3" x14ac:dyDescent="0.3">
      <c r="B47" t="s">
        <v>56</v>
      </c>
      <c r="C47" s="7">
        <f>2/10</f>
        <v>0.2</v>
      </c>
    </row>
    <row r="49" spans="2:3" x14ac:dyDescent="0.3">
      <c r="B49" t="s">
        <v>57</v>
      </c>
      <c r="C49" s="21">
        <f xml:space="preserve"> 20%*50%+5.04%*50%</f>
        <v>0.12520000000000001</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M73"/>
  <sheetViews>
    <sheetView topLeftCell="A51" zoomScale="110" zoomScaleNormal="110" workbookViewId="0">
      <selection activeCell="B73" sqref="B73"/>
    </sheetView>
  </sheetViews>
  <sheetFormatPr defaultRowHeight="14.4" x14ac:dyDescent="0.3"/>
  <cols>
    <col min="1" max="1" width="21.88671875" customWidth="1"/>
    <col min="2" max="2" width="17.77734375" customWidth="1"/>
    <col min="3" max="3" width="18.21875" customWidth="1"/>
    <col min="4" max="4" width="11.21875" bestFit="1" customWidth="1"/>
    <col min="7" max="7" width="10.6640625" customWidth="1"/>
    <col min="8" max="8" width="11.21875" customWidth="1"/>
    <col min="10" max="10" width="12.33203125" customWidth="1"/>
    <col min="11" max="11" width="15.21875" customWidth="1"/>
    <col min="12" max="12" width="15.109375" bestFit="1" customWidth="1"/>
    <col min="13" max="13" width="12.21875" bestFit="1" customWidth="1"/>
    <col min="16" max="16" width="10.88671875" customWidth="1"/>
  </cols>
  <sheetData>
    <row r="12" spans="1:2" x14ac:dyDescent="0.3">
      <c r="A12" t="s">
        <v>58</v>
      </c>
    </row>
    <row r="14" spans="1:2" x14ac:dyDescent="0.3">
      <c r="A14" t="s">
        <v>59</v>
      </c>
    </row>
    <row r="15" spans="1:2" x14ac:dyDescent="0.3">
      <c r="A15" t="s">
        <v>60</v>
      </c>
      <c r="B15" s="10" t="s">
        <v>61</v>
      </c>
    </row>
    <row r="18" spans="1:10" x14ac:dyDescent="0.3">
      <c r="B18">
        <v>1</v>
      </c>
      <c r="C18">
        <v>2</v>
      </c>
      <c r="D18">
        <v>3</v>
      </c>
      <c r="E18">
        <v>4</v>
      </c>
      <c r="F18">
        <v>5</v>
      </c>
    </row>
    <row r="19" spans="1:10" x14ac:dyDescent="0.3">
      <c r="A19" t="s">
        <v>7</v>
      </c>
      <c r="B19">
        <v>40000</v>
      </c>
      <c r="C19">
        <v>42000</v>
      </c>
      <c r="D19">
        <v>45000</v>
      </c>
      <c r="E19">
        <v>35000</v>
      </c>
      <c r="F19">
        <v>30000</v>
      </c>
      <c r="G19" s="10"/>
    </row>
    <row r="20" spans="1:10" x14ac:dyDescent="0.3">
      <c r="A20" t="s">
        <v>62</v>
      </c>
      <c r="B20">
        <f>50%*B19</f>
        <v>20000</v>
      </c>
      <c r="C20">
        <f t="shared" ref="C20:F20" si="0">50%*C19</f>
        <v>21000</v>
      </c>
      <c r="D20">
        <f t="shared" si="0"/>
        <v>22500</v>
      </c>
      <c r="E20">
        <f t="shared" si="0"/>
        <v>17500</v>
      </c>
      <c r="F20">
        <f>50%*F19</f>
        <v>15000</v>
      </c>
      <c r="G20" s="10"/>
    </row>
    <row r="21" spans="1:10" x14ac:dyDescent="0.3">
      <c r="A21" t="s">
        <v>63</v>
      </c>
      <c r="B21">
        <v>5000</v>
      </c>
      <c r="C21">
        <v>5000</v>
      </c>
      <c r="D21">
        <v>5000</v>
      </c>
      <c r="E21">
        <v>5000</v>
      </c>
      <c r="F21">
        <v>5000</v>
      </c>
      <c r="G21" s="10"/>
    </row>
    <row r="22" spans="1:10" x14ac:dyDescent="0.3">
      <c r="A22" t="s">
        <v>64</v>
      </c>
      <c r="B22">
        <v>6000</v>
      </c>
      <c r="C22">
        <v>6000</v>
      </c>
      <c r="D22">
        <v>6000</v>
      </c>
      <c r="E22">
        <v>6000</v>
      </c>
      <c r="F22">
        <v>6000</v>
      </c>
      <c r="G22" s="10"/>
    </row>
    <row r="23" spans="1:10" x14ac:dyDescent="0.3">
      <c r="A23" t="s">
        <v>65</v>
      </c>
      <c r="B23">
        <v>0</v>
      </c>
      <c r="C23">
        <v>0</v>
      </c>
      <c r="D23">
        <v>0</v>
      </c>
      <c r="E23">
        <v>0</v>
      </c>
      <c r="F23">
        <v>0</v>
      </c>
      <c r="G23" s="10"/>
    </row>
    <row r="24" spans="1:10" x14ac:dyDescent="0.3">
      <c r="A24" t="s">
        <v>66</v>
      </c>
      <c r="B24">
        <f>B19-B20-B21-B22-B23</f>
        <v>9000</v>
      </c>
      <c r="C24">
        <f>C19-C20-C21-C22-C23</f>
        <v>10000</v>
      </c>
      <c r="D24">
        <f>D19-D20-D21-D22-D23</f>
        <v>11500</v>
      </c>
      <c r="E24">
        <f t="shared" ref="E24:F24" si="1">E19-E20-E21-E22-E23</f>
        <v>6500</v>
      </c>
      <c r="F24">
        <f t="shared" si="1"/>
        <v>4000</v>
      </c>
      <c r="G24" s="10"/>
    </row>
    <row r="25" spans="1:10" x14ac:dyDescent="0.3">
      <c r="A25" t="s">
        <v>67</v>
      </c>
      <c r="B25">
        <f>16%*B24</f>
        <v>1440</v>
      </c>
      <c r="C25">
        <f>16%*C24</f>
        <v>1600</v>
      </c>
      <c r="D25">
        <f t="shared" ref="D25:F25" si="2">16%*D24</f>
        <v>1840</v>
      </c>
      <c r="E25">
        <f t="shared" si="2"/>
        <v>1040</v>
      </c>
      <c r="F25">
        <f t="shared" si="2"/>
        <v>640</v>
      </c>
      <c r="G25" s="10"/>
    </row>
    <row r="26" spans="1:10" x14ac:dyDescent="0.3">
      <c r="A26" t="s">
        <v>68</v>
      </c>
      <c r="B26">
        <f>B24-B25</f>
        <v>7560</v>
      </c>
      <c r="C26">
        <f>C24-C25</f>
        <v>8400</v>
      </c>
      <c r="D26">
        <f t="shared" ref="D26:F26" si="3">D24-D25</f>
        <v>9660</v>
      </c>
      <c r="E26">
        <f t="shared" si="3"/>
        <v>5460</v>
      </c>
      <c r="F26">
        <f t="shared" si="3"/>
        <v>3360</v>
      </c>
      <c r="G26" s="10"/>
      <c r="I26" t="s">
        <v>70</v>
      </c>
    </row>
    <row r="27" spans="1:10" x14ac:dyDescent="0.3">
      <c r="A27" s="14" t="s">
        <v>69</v>
      </c>
      <c r="B27" s="14">
        <f>B26+B23+B22</f>
        <v>13560</v>
      </c>
      <c r="C27" s="14">
        <f>C26+C23+C22</f>
        <v>14400</v>
      </c>
      <c r="D27" s="14">
        <f t="shared" ref="D27:F27" si="4">D26+D23+D22</f>
        <v>15660</v>
      </c>
      <c r="E27" s="14">
        <f t="shared" si="4"/>
        <v>11460</v>
      </c>
      <c r="F27" s="14">
        <f t="shared" si="4"/>
        <v>9360</v>
      </c>
      <c r="G27" s="10"/>
      <c r="J27" s="10" t="s">
        <v>71</v>
      </c>
    </row>
    <row r="28" spans="1:10" x14ac:dyDescent="0.3">
      <c r="A28" t="s">
        <v>72</v>
      </c>
      <c r="B28">
        <f>B19/10</f>
        <v>4000</v>
      </c>
      <c r="C28">
        <f>C19/10</f>
        <v>4200</v>
      </c>
      <c r="D28">
        <f>D19/10</f>
        <v>4500</v>
      </c>
      <c r="E28">
        <f>E19/10</f>
        <v>3500</v>
      </c>
      <c r="F28">
        <f>F19/10</f>
        <v>3000</v>
      </c>
      <c r="G28" s="10"/>
    </row>
    <row r="29" spans="1:10" x14ac:dyDescent="0.3">
      <c r="A29" s="14" t="s">
        <v>74</v>
      </c>
      <c r="B29" s="14">
        <f>4000-0</f>
        <v>4000</v>
      </c>
      <c r="C29" s="14">
        <f>4200-4000</f>
        <v>200</v>
      </c>
      <c r="D29" s="14">
        <f>4500-4200</f>
        <v>300</v>
      </c>
      <c r="E29" s="14">
        <f>3500-4500</f>
        <v>-1000</v>
      </c>
      <c r="F29" s="14">
        <f>3000-3500</f>
        <v>-500</v>
      </c>
      <c r="G29" s="10"/>
      <c r="I29" t="s">
        <v>73</v>
      </c>
    </row>
    <row r="30" spans="1:10" x14ac:dyDescent="0.3">
      <c r="A30" t="s">
        <v>75</v>
      </c>
      <c r="B30">
        <v>0</v>
      </c>
      <c r="C30">
        <v>0</v>
      </c>
      <c r="D30">
        <v>0</v>
      </c>
      <c r="E30">
        <v>0</v>
      </c>
      <c r="F30">
        <v>0</v>
      </c>
      <c r="G30" s="10"/>
    </row>
    <row r="31" spans="1:10" x14ac:dyDescent="0.3">
      <c r="A31" s="14" t="s">
        <v>76</v>
      </c>
      <c r="B31" s="14">
        <f>B27-B29-B30</f>
        <v>9560</v>
      </c>
      <c r="C31" s="14">
        <f>C27-C29-C30</f>
        <v>14200</v>
      </c>
      <c r="D31" s="14">
        <f>D27-D29-D30</f>
        <v>15360</v>
      </c>
      <c r="E31" s="14">
        <f>E27-E29-E30</f>
        <v>12460</v>
      </c>
      <c r="F31" s="14">
        <f>F27-F29-F30</f>
        <v>9860</v>
      </c>
      <c r="G31" s="10"/>
    </row>
    <row r="32" spans="1:10" x14ac:dyDescent="0.3">
      <c r="G32" s="10"/>
    </row>
    <row r="33" spans="1:2" x14ac:dyDescent="0.3">
      <c r="A33" s="14" t="s">
        <v>77</v>
      </c>
      <c r="B33" s="11">
        <f xml:space="preserve"> 1000- 16%*(1000-0)+F28</f>
        <v>3840</v>
      </c>
    </row>
    <row r="51" spans="1:13" x14ac:dyDescent="0.3">
      <c r="I51" t="s">
        <v>83</v>
      </c>
      <c r="J51" s="14" t="s">
        <v>84</v>
      </c>
      <c r="K51" t="s">
        <v>85</v>
      </c>
      <c r="L51" t="s">
        <v>86</v>
      </c>
      <c r="M51" t="s">
        <v>88</v>
      </c>
    </row>
    <row r="52" spans="1:13" x14ac:dyDescent="0.3">
      <c r="A52" t="s">
        <v>78</v>
      </c>
      <c r="B52">
        <f>600000</f>
        <v>600000</v>
      </c>
      <c r="I52">
        <v>1</v>
      </c>
      <c r="J52" s="14">
        <f>5%*240000</f>
        <v>12000</v>
      </c>
      <c r="K52">
        <v>60000</v>
      </c>
      <c r="L52">
        <f>K52+J52</f>
        <v>72000</v>
      </c>
      <c r="M52">
        <f>240000- K52</f>
        <v>180000</v>
      </c>
    </row>
    <row r="53" spans="1:13" x14ac:dyDescent="0.3">
      <c r="A53" t="s">
        <v>79</v>
      </c>
      <c r="B53" s="10" t="s">
        <v>80</v>
      </c>
      <c r="I53">
        <v>2</v>
      </c>
      <c r="J53" s="14">
        <f>5%*M52</f>
        <v>9000</v>
      </c>
      <c r="K53">
        <v>60000</v>
      </c>
      <c r="L53">
        <f>K53+J53</f>
        <v>69000</v>
      </c>
      <c r="M53">
        <f>M52-K53</f>
        <v>120000</v>
      </c>
    </row>
    <row r="54" spans="1:13" x14ac:dyDescent="0.3">
      <c r="A54" t="s">
        <v>81</v>
      </c>
      <c r="B54" s="4"/>
      <c r="I54">
        <v>3</v>
      </c>
      <c r="J54" s="14">
        <f>5%*M53</f>
        <v>6000</v>
      </c>
      <c r="K54">
        <v>60000</v>
      </c>
      <c r="L54">
        <f>K54+J54</f>
        <v>66000</v>
      </c>
      <c r="M54">
        <f>M53-K54</f>
        <v>60000</v>
      </c>
    </row>
    <row r="55" spans="1:13" x14ac:dyDescent="0.3">
      <c r="A55" s="10" t="s">
        <v>82</v>
      </c>
      <c r="B55" s="4"/>
      <c r="C55" s="10"/>
      <c r="I55">
        <v>4</v>
      </c>
      <c r="J55" s="14">
        <f>5%*M54</f>
        <v>3000</v>
      </c>
      <c r="K55">
        <v>60000</v>
      </c>
      <c r="L55">
        <f>K55+J55</f>
        <v>63000</v>
      </c>
      <c r="M55">
        <f>M54-K55</f>
        <v>0</v>
      </c>
    </row>
    <row r="56" spans="1:13" x14ac:dyDescent="0.3">
      <c r="A56" s="10" t="s">
        <v>87</v>
      </c>
      <c r="C56" s="10"/>
    </row>
    <row r="58" spans="1:13" x14ac:dyDescent="0.3">
      <c r="B58">
        <v>1</v>
      </c>
      <c r="C58">
        <v>2</v>
      </c>
      <c r="D58">
        <v>3</v>
      </c>
      <c r="E58">
        <v>4</v>
      </c>
      <c r="F58" s="10"/>
    </row>
    <row r="59" spans="1:13" x14ac:dyDescent="0.3">
      <c r="A59" t="s">
        <v>7</v>
      </c>
      <c r="B59">
        <v>400000</v>
      </c>
      <c r="C59">
        <v>420000</v>
      </c>
      <c r="D59">
        <v>500000</v>
      </c>
      <c r="E59">
        <v>550000</v>
      </c>
      <c r="J59" s="12"/>
    </row>
    <row r="60" spans="1:13" x14ac:dyDescent="0.3">
      <c r="A60" t="s">
        <v>89</v>
      </c>
      <c r="B60">
        <f>40%*B59</f>
        <v>160000</v>
      </c>
      <c r="C60">
        <f>40%*C59</f>
        <v>168000</v>
      </c>
      <c r="D60">
        <f>40%*D59</f>
        <v>200000</v>
      </c>
      <c r="E60">
        <f>40%*E59</f>
        <v>220000</v>
      </c>
    </row>
    <row r="61" spans="1:13" x14ac:dyDescent="0.3">
      <c r="A61" t="s">
        <v>63</v>
      </c>
      <c r="B61">
        <v>60000</v>
      </c>
      <c r="C61">
        <v>60000</v>
      </c>
      <c r="D61">
        <v>60000</v>
      </c>
      <c r="E61">
        <v>60000</v>
      </c>
    </row>
    <row r="62" spans="1:13" x14ac:dyDescent="0.3">
      <c r="A62" t="s">
        <v>90</v>
      </c>
      <c r="B62">
        <v>12000</v>
      </c>
      <c r="C62">
        <v>9000</v>
      </c>
      <c r="D62">
        <v>6000</v>
      </c>
      <c r="E62">
        <v>3000</v>
      </c>
    </row>
    <row r="63" spans="1:13" x14ac:dyDescent="0.3">
      <c r="A63" t="s">
        <v>91</v>
      </c>
      <c r="B63">
        <v>150000</v>
      </c>
      <c r="C63">
        <v>150000</v>
      </c>
      <c r="D63">
        <v>150000</v>
      </c>
      <c r="E63">
        <v>150000</v>
      </c>
    </row>
    <row r="64" spans="1:13" x14ac:dyDescent="0.3">
      <c r="A64" t="s">
        <v>92</v>
      </c>
      <c r="B64">
        <f>B59-B60-B61-B62-B63</f>
        <v>18000</v>
      </c>
      <c r="C64">
        <f>C59-C60-C61-C62-C63</f>
        <v>33000</v>
      </c>
      <c r="D64">
        <f t="shared" ref="D64:E64" si="5">D59-D60-D61-D62-D63</f>
        <v>84000</v>
      </c>
      <c r="E64">
        <f t="shared" si="5"/>
        <v>117000</v>
      </c>
    </row>
    <row r="65" spans="1:8" x14ac:dyDescent="0.3">
      <c r="A65" t="s">
        <v>93</v>
      </c>
      <c r="B65">
        <f>B64*0.84</f>
        <v>15120</v>
      </c>
      <c r="C65">
        <f>C64*0.84</f>
        <v>27720</v>
      </c>
      <c r="D65">
        <f>D64*0.84</f>
        <v>70560</v>
      </c>
      <c r="E65">
        <f>E64*0.84</f>
        <v>98280</v>
      </c>
    </row>
    <row r="66" spans="1:8" x14ac:dyDescent="0.3">
      <c r="A66" s="14" t="s">
        <v>94</v>
      </c>
      <c r="B66" s="14">
        <f>B65+B63+B62</f>
        <v>177120</v>
      </c>
      <c r="C66" s="14">
        <f>C65+C63+C62</f>
        <v>186720</v>
      </c>
      <c r="D66" s="14">
        <f>D65+D63+D62</f>
        <v>226560</v>
      </c>
      <c r="E66" s="14">
        <f>E65+E63+E62</f>
        <v>251280</v>
      </c>
    </row>
    <row r="67" spans="1:8" x14ac:dyDescent="0.3">
      <c r="A67" t="s">
        <v>95</v>
      </c>
      <c r="B67">
        <f>B59/10</f>
        <v>40000</v>
      </c>
      <c r="C67">
        <f>C59/10</f>
        <v>42000</v>
      </c>
      <c r="D67">
        <f>D59/10</f>
        <v>50000</v>
      </c>
      <c r="E67">
        <f>E59/10</f>
        <v>55000</v>
      </c>
    </row>
    <row r="68" spans="1:8" x14ac:dyDescent="0.3">
      <c r="A68" s="14" t="s">
        <v>96</v>
      </c>
      <c r="B68" s="14">
        <f>40000-0</f>
        <v>40000</v>
      </c>
      <c r="C68" s="14">
        <f>42000-40000</f>
        <v>2000</v>
      </c>
      <c r="D68" s="14">
        <f>50000-42000</f>
        <v>8000</v>
      </c>
      <c r="E68" s="14">
        <f>E67-D67</f>
        <v>5000</v>
      </c>
    </row>
    <row r="69" spans="1:8" x14ac:dyDescent="0.3">
      <c r="A69" s="14" t="s">
        <v>75</v>
      </c>
      <c r="B69" s="14">
        <v>0</v>
      </c>
      <c r="C69" s="14">
        <v>0</v>
      </c>
      <c r="D69" s="14">
        <v>0</v>
      </c>
      <c r="E69" s="14">
        <v>0</v>
      </c>
    </row>
    <row r="70" spans="1:8" x14ac:dyDescent="0.3">
      <c r="A70" s="14" t="s">
        <v>98</v>
      </c>
      <c r="B70" s="14">
        <f>B66-B68-B69</f>
        <v>137120</v>
      </c>
      <c r="C70" s="14">
        <f>C66-C68-C69</f>
        <v>184720</v>
      </c>
      <c r="D70" s="14">
        <f>D66-D68-D69</f>
        <v>218560</v>
      </c>
      <c r="E70" s="14">
        <f>E66-E68-E69</f>
        <v>246280</v>
      </c>
      <c r="H70" t="s">
        <v>97</v>
      </c>
    </row>
    <row r="72" spans="1:8" x14ac:dyDescent="0.3">
      <c r="A72" s="14" t="s">
        <v>99</v>
      </c>
      <c r="B72">
        <v>80000</v>
      </c>
    </row>
    <row r="73" spans="1:8" x14ac:dyDescent="0.3">
      <c r="A73" s="14" t="s">
        <v>77</v>
      </c>
      <c r="B73" s="11">
        <f>80000- 16%*(80000-0)-0+E67</f>
        <v>122200</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I96"/>
  <sheetViews>
    <sheetView tabSelected="1" topLeftCell="A73" zoomScale="110" zoomScaleNormal="110" workbookViewId="0">
      <selection activeCell="C89" sqref="C89"/>
    </sheetView>
  </sheetViews>
  <sheetFormatPr defaultRowHeight="14.4" x14ac:dyDescent="0.3"/>
  <cols>
    <col min="2" max="2" width="16.5546875" customWidth="1"/>
    <col min="3" max="3" width="20.21875" bestFit="1" customWidth="1"/>
    <col min="7" max="7" width="9.21875" bestFit="1" customWidth="1"/>
  </cols>
  <sheetData>
    <row r="16" spans="2:3" x14ac:dyDescent="0.3">
      <c r="B16" t="s">
        <v>100</v>
      </c>
      <c r="C16">
        <v>42000</v>
      </c>
    </row>
    <row r="17" spans="2:8" x14ac:dyDescent="0.3">
      <c r="B17" t="s">
        <v>77</v>
      </c>
      <c r="C17">
        <v>4000</v>
      </c>
      <c r="F17" t="s">
        <v>103</v>
      </c>
      <c r="G17">
        <f>-42000+10000/(1+12%)^1+11000/(1+12%)^2+11000/(1+12%)^3+12000/(1+12%)^4+10000/(1+12%)^5+11000/(1+12%)^6+4000/(1+12%)^6</f>
        <v>4427.2391232839464</v>
      </c>
      <c r="H17" s="10" t="s">
        <v>104</v>
      </c>
    </row>
    <row r="18" spans="2:8" x14ac:dyDescent="0.3">
      <c r="B18" t="s">
        <v>101</v>
      </c>
      <c r="C18" s="4">
        <v>0.12</v>
      </c>
    </row>
    <row r="19" spans="2:8" x14ac:dyDescent="0.3">
      <c r="B19" t="s">
        <v>102</v>
      </c>
      <c r="C19" s="4">
        <v>0.05</v>
      </c>
    </row>
    <row r="20" spans="2:8" x14ac:dyDescent="0.3">
      <c r="F20" s="10"/>
    </row>
    <row r="38" spans="2:7" x14ac:dyDescent="0.3">
      <c r="B38" s="14"/>
      <c r="C38" s="14"/>
      <c r="D38" s="14" t="s">
        <v>107</v>
      </c>
      <c r="E38" s="14" t="s">
        <v>108</v>
      </c>
      <c r="F38" t="s">
        <v>109</v>
      </c>
      <c r="G38" s="14" t="s">
        <v>110</v>
      </c>
    </row>
    <row r="39" spans="2:7" x14ac:dyDescent="0.3">
      <c r="B39" s="14" t="s">
        <v>105</v>
      </c>
      <c r="C39" s="18" t="s">
        <v>106</v>
      </c>
      <c r="D39" s="14">
        <f>1+18000/45000</f>
        <v>1.4</v>
      </c>
      <c r="E39" s="14">
        <f>1-5000/25000</f>
        <v>0.8</v>
      </c>
      <c r="F39">
        <f>1+15000/40000</f>
        <v>1.375</v>
      </c>
      <c r="G39">
        <f>1+20000/100000</f>
        <v>1.2</v>
      </c>
    </row>
    <row r="41" spans="2:7" x14ac:dyDescent="0.3">
      <c r="C41" s="10" t="s">
        <v>111</v>
      </c>
    </row>
    <row r="44" spans="2:7" x14ac:dyDescent="0.3">
      <c r="E44" s="3"/>
    </row>
    <row r="45" spans="2:7" x14ac:dyDescent="0.3">
      <c r="E45" s="3"/>
    </row>
    <row r="66" spans="2:9" x14ac:dyDescent="0.3">
      <c r="C66" t="s">
        <v>112</v>
      </c>
      <c r="E66" t="s">
        <v>122</v>
      </c>
      <c r="G66" t="s">
        <v>123</v>
      </c>
    </row>
    <row r="67" spans="2:9" x14ac:dyDescent="0.3">
      <c r="C67">
        <v>1</v>
      </c>
      <c r="D67" s="10">
        <v>2</v>
      </c>
      <c r="E67">
        <v>1</v>
      </c>
      <c r="F67">
        <v>2</v>
      </c>
      <c r="G67">
        <v>1</v>
      </c>
      <c r="H67">
        <v>2</v>
      </c>
    </row>
    <row r="68" spans="2:9" x14ac:dyDescent="0.3">
      <c r="B68" t="s">
        <v>7</v>
      </c>
      <c r="C68">
        <v>250000</v>
      </c>
      <c r="D68">
        <v>250000</v>
      </c>
      <c r="E68">
        <v>220000</v>
      </c>
      <c r="F68">
        <f>E68</f>
        <v>220000</v>
      </c>
      <c r="G68">
        <v>200000</v>
      </c>
      <c r="H68">
        <f>G68</f>
        <v>200000</v>
      </c>
    </row>
    <row r="69" spans="2:9" x14ac:dyDescent="0.3">
      <c r="B69" t="s">
        <v>113</v>
      </c>
      <c r="C69">
        <f>40%*C68</f>
        <v>100000</v>
      </c>
      <c r="D69">
        <f>40%*D68</f>
        <v>100000</v>
      </c>
      <c r="E69">
        <f>50%*E68</f>
        <v>110000</v>
      </c>
      <c r="F69">
        <f>50%*F68</f>
        <v>110000</v>
      </c>
      <c r="G69">
        <f>60%*G68</f>
        <v>120000</v>
      </c>
      <c r="H69">
        <f>60%*H68</f>
        <v>120000</v>
      </c>
    </row>
    <row r="70" spans="2:9" x14ac:dyDescent="0.3">
      <c r="B70" t="s">
        <v>114</v>
      </c>
      <c r="C70">
        <v>40000</v>
      </c>
      <c r="D70">
        <v>40000</v>
      </c>
      <c r="E70">
        <v>45000</v>
      </c>
      <c r="F70">
        <v>45000</v>
      </c>
      <c r="G70">
        <v>50000</v>
      </c>
      <c r="H70">
        <v>50000</v>
      </c>
    </row>
    <row r="71" spans="2:9" x14ac:dyDescent="0.3">
      <c r="B71" t="s">
        <v>115</v>
      </c>
      <c r="C71">
        <f>100000/2</f>
        <v>50000</v>
      </c>
      <c r="D71">
        <f>100000/2</f>
        <v>50000</v>
      </c>
      <c r="E71">
        <v>50000</v>
      </c>
      <c r="F71">
        <v>50000</v>
      </c>
      <c r="G71">
        <v>50000</v>
      </c>
      <c r="H71">
        <v>50000</v>
      </c>
    </row>
    <row r="72" spans="2:9" x14ac:dyDescent="0.3">
      <c r="B72" t="s">
        <v>116</v>
      </c>
      <c r="C72">
        <v>0</v>
      </c>
      <c r="D72">
        <v>0</v>
      </c>
      <c r="E72">
        <v>0</v>
      </c>
      <c r="F72">
        <v>0</v>
      </c>
      <c r="G72">
        <v>0</v>
      </c>
      <c r="H72">
        <v>0</v>
      </c>
    </row>
    <row r="73" spans="2:9" x14ac:dyDescent="0.3">
      <c r="B73" t="s">
        <v>92</v>
      </c>
      <c r="C73">
        <f>C68-C69-C70-C71-C72</f>
        <v>60000</v>
      </c>
      <c r="D73">
        <f>D68-D69-D70-D71-D72</f>
        <v>60000</v>
      </c>
      <c r="E73">
        <f>E68-E69-E70-E71-E72</f>
        <v>15000</v>
      </c>
      <c r="F73">
        <f>F68-F69-F70-F71-F72</f>
        <v>15000</v>
      </c>
      <c r="G73">
        <f>G68-G69-G70-G71-G72</f>
        <v>-20000</v>
      </c>
      <c r="H73">
        <f t="shared" ref="G73:H73" si="0">H68-H69-H70-H71-H72</f>
        <v>-20000</v>
      </c>
    </row>
    <row r="74" spans="2:9" x14ac:dyDescent="0.3">
      <c r="B74" t="s">
        <v>117</v>
      </c>
      <c r="C74">
        <f>0.84*C73</f>
        <v>50400</v>
      </c>
      <c r="D74">
        <f>0.84*D73</f>
        <v>50400</v>
      </c>
      <c r="E74">
        <f>0.84*E73</f>
        <v>12600</v>
      </c>
      <c r="F74">
        <f>0.84*F73</f>
        <v>12600</v>
      </c>
      <c r="G74">
        <f>G73</f>
        <v>-20000</v>
      </c>
      <c r="H74">
        <f>H73</f>
        <v>-20000</v>
      </c>
      <c r="I74" t="s">
        <v>124</v>
      </c>
    </row>
    <row r="75" spans="2:9" x14ac:dyDescent="0.3">
      <c r="B75" t="s">
        <v>118</v>
      </c>
      <c r="C75">
        <f>C74+C71+C72</f>
        <v>100400</v>
      </c>
      <c r="D75">
        <f>D74+D71+D72</f>
        <v>100400</v>
      </c>
      <c r="E75">
        <f>E74+E71+E72</f>
        <v>62600</v>
      </c>
      <c r="F75">
        <f>F74+F71+F72</f>
        <v>62600</v>
      </c>
      <c r="G75">
        <f>G74+G71+G72</f>
        <v>30000</v>
      </c>
      <c r="H75">
        <f>H74+H71+H72</f>
        <v>30000</v>
      </c>
    </row>
    <row r="76" spans="2:9" x14ac:dyDescent="0.3">
      <c r="B76" t="s">
        <v>74</v>
      </c>
      <c r="C76">
        <v>0</v>
      </c>
      <c r="D76">
        <v>0</v>
      </c>
      <c r="E76">
        <v>0</v>
      </c>
      <c r="F76">
        <v>0</v>
      </c>
      <c r="G76">
        <v>0</v>
      </c>
      <c r="H76">
        <v>0</v>
      </c>
    </row>
    <row r="77" spans="2:9" x14ac:dyDescent="0.3">
      <c r="B77" t="s">
        <v>119</v>
      </c>
      <c r="C77">
        <v>0</v>
      </c>
      <c r="D77">
        <v>0</v>
      </c>
      <c r="E77">
        <v>0</v>
      </c>
      <c r="F77">
        <v>0</v>
      </c>
      <c r="G77">
        <v>0</v>
      </c>
      <c r="H77">
        <v>0</v>
      </c>
    </row>
    <row r="78" spans="2:9" x14ac:dyDescent="0.3">
      <c r="B78" s="12" t="s">
        <v>98</v>
      </c>
      <c r="C78">
        <f>C75-C76-C77</f>
        <v>100400</v>
      </c>
      <c r="D78">
        <f>D75-D76-D77</f>
        <v>100400</v>
      </c>
      <c r="E78">
        <f>E75-E76-E77</f>
        <v>62600</v>
      </c>
      <c r="F78">
        <f>F75-F76-F77</f>
        <v>62600</v>
      </c>
      <c r="G78">
        <f t="shared" ref="G78:H78" si="1">G75-G76-G77</f>
        <v>30000</v>
      </c>
      <c r="H78">
        <f t="shared" si="1"/>
        <v>30000</v>
      </c>
    </row>
    <row r="79" spans="2:9" x14ac:dyDescent="0.3">
      <c r="B79" s="12"/>
    </row>
    <row r="80" spans="2:9" x14ac:dyDescent="0.3">
      <c r="B80" s="13" t="s">
        <v>77</v>
      </c>
      <c r="D80">
        <v>20000</v>
      </c>
      <c r="F80">
        <v>15000</v>
      </c>
      <c r="H80">
        <v>0</v>
      </c>
    </row>
    <row r="81" spans="2:8" x14ac:dyDescent="0.3">
      <c r="B81" s="12" t="s">
        <v>120</v>
      </c>
      <c r="D81" s="4">
        <v>0.1</v>
      </c>
      <c r="F81" s="4">
        <v>0.12</v>
      </c>
      <c r="H81" s="4">
        <v>0.15</v>
      </c>
    </row>
    <row r="82" spans="2:8" x14ac:dyDescent="0.3">
      <c r="B82" s="12" t="s">
        <v>121</v>
      </c>
      <c r="C82" s="11">
        <f>-100000+C78/(1+D81)^1+D78/(1+D81)^2+D80/(1+D81)^2</f>
        <v>90776.859504132211</v>
      </c>
      <c r="E82" s="11">
        <f>-100000+E78/(1+F81)^1+F78/(1+F81)^2+F80/(1+F81)^2</f>
        <v>17755.102040816309</v>
      </c>
      <c r="G82" s="11">
        <f>-100000+G78/(1+H81)^1+H78/(1+H81)^2+H80/(1+H81)^2</f>
        <v>-51228.733459357274</v>
      </c>
    </row>
    <row r="83" spans="2:8" x14ac:dyDescent="0.3">
      <c r="B83" s="12" t="s">
        <v>125</v>
      </c>
      <c r="C83" s="4">
        <v>0.25</v>
      </c>
      <c r="E83" s="4">
        <v>0.5</v>
      </c>
      <c r="G83" s="4">
        <v>0.25</v>
      </c>
    </row>
    <row r="85" spans="2:8" x14ac:dyDescent="0.3">
      <c r="B85" t="s">
        <v>126</v>
      </c>
      <c r="C85" s="11">
        <f>25%*C82+50%*E82+25%*G82</f>
        <v>18764.582531601889</v>
      </c>
      <c r="D85" t="s">
        <v>129</v>
      </c>
    </row>
    <row r="86" spans="2:8" x14ac:dyDescent="0.3">
      <c r="C86" s="11"/>
    </row>
    <row r="87" spans="2:8" x14ac:dyDescent="0.3">
      <c r="B87" t="s">
        <v>128</v>
      </c>
      <c r="C87" s="11">
        <f>25%*(C82-C85)^2+50%*(E82-C85)^2+25%*(G82-C85)^2</f>
        <v>2521717604.9753084</v>
      </c>
    </row>
    <row r="89" spans="2:8" x14ac:dyDescent="0.3">
      <c r="B89" t="s">
        <v>127</v>
      </c>
      <c r="C89">
        <f>SQRT(C87)</f>
        <v>50216.706432972169</v>
      </c>
      <c r="D89" t="s">
        <v>129</v>
      </c>
    </row>
    <row r="91" spans="2:8" x14ac:dyDescent="0.3">
      <c r="B91" s="10" t="s">
        <v>130</v>
      </c>
    </row>
    <row r="93" spans="2:8" x14ac:dyDescent="0.3">
      <c r="B93" t="s">
        <v>131</v>
      </c>
    </row>
    <row r="95" spans="2:8" x14ac:dyDescent="0.3">
      <c r="B95" t="s">
        <v>132</v>
      </c>
      <c r="C95">
        <f>18764.58-1.96*50216.7</f>
        <v>-79660.151999999987</v>
      </c>
      <c r="D95" s="10"/>
      <c r="F95" s="10"/>
    </row>
    <row r="96" spans="2:8" x14ac:dyDescent="0.3">
      <c r="B96" t="s">
        <v>133</v>
      </c>
      <c r="C96">
        <f>18764.58+1.96*50216.7</f>
        <v>117189.31199999999</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val in timp a banilor</vt:lpstr>
      <vt:lpstr>I0, val reziduala</vt:lpstr>
      <vt:lpstr>CMPC</vt:lpstr>
      <vt:lpstr>CF</vt:lpstr>
      <vt:lpstr>indic eval a proiectului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Dragos</dc:creator>
  <cp:lastModifiedBy>ELENA</cp:lastModifiedBy>
  <dcterms:created xsi:type="dcterms:W3CDTF">2015-06-05T18:17:20Z</dcterms:created>
  <dcterms:modified xsi:type="dcterms:W3CDTF">2026-03-20T18:54:04Z</dcterms:modified>
</cp:coreProperties>
</file>